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04 Vergabekriterien\Vergabekriterien deutsch\Aktuelle VGK\UZ 225 Ausgabe 2022-07 Fassadenfarben\Zur Veröffentlichung\Anlagen\"/>
    </mc:Choice>
  </mc:AlternateContent>
  <xr:revisionPtr revIDLastSave="0" documentId="13_ncr:1_{280BEB73-2D16-4D51-9F11-A452BF6370B1}" xr6:coauthVersionLast="47" xr6:coauthVersionMax="47" xr10:uidLastSave="{00000000-0000-0000-0000-000000000000}"/>
  <workbookProtection workbookAlgorithmName="SHA-512" workbookHashValue="mWMUl1WF4DKwwzARxdvA9MzBdndyyW8Fgd3npqE4JcOWqbys4hMJafD5NEPT2OoR82WOEN+0fhVxejsT3+++lw==" workbookSaltValue="vTssGdYftXZc7BNZO5ZrPg==" workbookSpinCount="100000" lockStructure="1"/>
  <bookViews>
    <workbookView xWindow="22992" yWindow="-5976" windowWidth="46056" windowHeight="18744" tabRatio="807" xr2:uid="{00000000-000D-0000-FFFF-FFFF00000000}"/>
  </bookViews>
  <sheets>
    <sheet name="Information" sheetId="18" r:id="rId1"/>
    <sheet name="Rezeptur - Composition 1" sheetId="28" r:id="rId2"/>
    <sheet name="Rezeptur - Composition 2" sheetId="38" r:id="rId3"/>
    <sheet name="Rezeptur - Composition 3" sheetId="39" r:id="rId4"/>
    <sheet name="Rezeptur - Composition 4" sheetId="40" r:id="rId5"/>
    <sheet name="Mischystem - Mixing System" sheetId="36" r:id="rId6"/>
    <sheet name="RAL" sheetId="21" r:id="rId7"/>
    <sheet name="Change Log" sheetId="32" r:id="rId8"/>
    <sheet name="Text" sheetId="23" state="hidden" r:id="rId9"/>
    <sheet name="Drop" sheetId="24" state="hidden" r:id="rId10"/>
  </sheets>
  <definedNames>
    <definedName name="code">Text!$D$1</definedName>
    <definedName name="_xlnm.Print_Area" localSheetId="7">'Change Log'!$A$1:$E$63</definedName>
    <definedName name="_xlnm.Print_Area" localSheetId="0">Information!$A$1:$P$73</definedName>
    <definedName name="Jain">Drop!$A$2:$A$4</definedName>
    <definedName name="language">Information!$F$2</definedName>
    <definedName name="translation">Text!$A:$C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8" l="1"/>
  <c r="C8" i="21" l="1"/>
  <c r="C17" i="21"/>
  <c r="C16" i="21"/>
  <c r="C15" i="21"/>
  <c r="C14" i="21"/>
  <c r="C13" i="21"/>
  <c r="C12" i="21"/>
  <c r="C11" i="21"/>
  <c r="C10" i="21"/>
  <c r="C9" i="21"/>
  <c r="C7" i="21"/>
  <c r="C6" i="21"/>
  <c r="C5" i="21"/>
  <c r="C4" i="21"/>
  <c r="C3" i="21"/>
  <c r="I6" i="38" l="1"/>
  <c r="I6" i="39"/>
  <c r="I6" i="40"/>
  <c r="I43" i="40"/>
  <c r="F43" i="40"/>
  <c r="R42" i="40"/>
  <c r="R41" i="40"/>
  <c r="R40" i="40"/>
  <c r="R39" i="40"/>
  <c r="R38" i="40"/>
  <c r="R37" i="40"/>
  <c r="R36" i="40"/>
  <c r="R35" i="40"/>
  <c r="R34" i="40"/>
  <c r="R33" i="40"/>
  <c r="R32" i="40"/>
  <c r="R31" i="40"/>
  <c r="R30" i="40"/>
  <c r="R29" i="40"/>
  <c r="R28" i="40"/>
  <c r="R27" i="40"/>
  <c r="R26" i="40"/>
  <c r="R25" i="40"/>
  <c r="R24" i="40"/>
  <c r="R23" i="40"/>
  <c r="R22" i="40"/>
  <c r="R21" i="40"/>
  <c r="R20" i="40"/>
  <c r="R19" i="40"/>
  <c r="R18" i="40"/>
  <c r="R17" i="40"/>
  <c r="R16" i="40"/>
  <c r="R15" i="40"/>
  <c r="R14" i="40"/>
  <c r="R13" i="40"/>
  <c r="R12" i="40"/>
  <c r="H6" i="40"/>
  <c r="I43" i="39"/>
  <c r="F43" i="39"/>
  <c r="R42" i="39"/>
  <c r="R41" i="39"/>
  <c r="R40" i="39"/>
  <c r="R39" i="39"/>
  <c r="R38" i="39"/>
  <c r="R37" i="39"/>
  <c r="R36" i="39"/>
  <c r="R35" i="39"/>
  <c r="R34" i="39"/>
  <c r="R33" i="39"/>
  <c r="R32" i="39"/>
  <c r="R31" i="39"/>
  <c r="R30" i="39"/>
  <c r="R29" i="39"/>
  <c r="R28" i="39"/>
  <c r="R27" i="39"/>
  <c r="R26" i="39"/>
  <c r="R25" i="39"/>
  <c r="R24" i="39"/>
  <c r="R23" i="39"/>
  <c r="R22" i="39"/>
  <c r="R21" i="39"/>
  <c r="R20" i="39"/>
  <c r="R19" i="39"/>
  <c r="R18" i="39"/>
  <c r="R17" i="39"/>
  <c r="R16" i="39"/>
  <c r="R15" i="39"/>
  <c r="R14" i="39"/>
  <c r="R13" i="39"/>
  <c r="R12" i="39"/>
  <c r="H6" i="39"/>
  <c r="I43" i="38"/>
  <c r="F43" i="38"/>
  <c r="R42" i="38"/>
  <c r="R41" i="38"/>
  <c r="R40" i="38"/>
  <c r="R39" i="38"/>
  <c r="R38" i="38"/>
  <c r="R37" i="38"/>
  <c r="R36" i="38"/>
  <c r="R35" i="38"/>
  <c r="R34" i="38"/>
  <c r="R33" i="38"/>
  <c r="R32" i="38"/>
  <c r="R31" i="38"/>
  <c r="R30" i="38"/>
  <c r="R29" i="38"/>
  <c r="R28" i="38"/>
  <c r="R27" i="38"/>
  <c r="R26" i="38"/>
  <c r="R25" i="38"/>
  <c r="R24" i="38"/>
  <c r="R23" i="38"/>
  <c r="R22" i="38"/>
  <c r="R21" i="38"/>
  <c r="R20" i="38"/>
  <c r="R19" i="38"/>
  <c r="R18" i="38"/>
  <c r="R17" i="38"/>
  <c r="R16" i="38"/>
  <c r="R15" i="38"/>
  <c r="R14" i="38"/>
  <c r="R13" i="38"/>
  <c r="R12" i="38"/>
  <c r="H6" i="38"/>
  <c r="N4" i="18" l="1"/>
  <c r="D1" i="23" l="1"/>
  <c r="L67" i="18" l="1"/>
  <c r="L66" i="18"/>
  <c r="B17" i="21"/>
  <c r="B9" i="21"/>
  <c r="B8" i="21"/>
  <c r="B16" i="21"/>
  <c r="B5" i="21"/>
  <c r="B15" i="21"/>
  <c r="B7" i="21"/>
  <c r="B14" i="21"/>
  <c r="B6" i="21"/>
  <c r="B13" i="21"/>
  <c r="B12" i="21"/>
  <c r="B4" i="21"/>
  <c r="B11" i="21"/>
  <c r="B3" i="21"/>
  <c r="B10" i="21"/>
  <c r="D2" i="21"/>
  <c r="L53" i="18"/>
  <c r="L72" i="18"/>
  <c r="L2" i="40"/>
  <c r="L2" i="38"/>
  <c r="C2" i="38"/>
  <c r="C2" i="39"/>
  <c r="L2" i="39"/>
  <c r="C2" i="40"/>
  <c r="F6" i="40"/>
  <c r="L10" i="40"/>
  <c r="C8" i="40"/>
  <c r="C4" i="40"/>
  <c r="I10" i="40"/>
  <c r="C7" i="40"/>
  <c r="R2" i="40"/>
  <c r="M10" i="40"/>
  <c r="C43" i="40"/>
  <c r="R10" i="40"/>
  <c r="H10" i="40"/>
  <c r="L6" i="40"/>
  <c r="Q10" i="40"/>
  <c r="G10" i="40"/>
  <c r="I2" i="40"/>
  <c r="P10" i="40"/>
  <c r="F10" i="40"/>
  <c r="D10" i="40"/>
  <c r="C6" i="40"/>
  <c r="L4" i="40"/>
  <c r="O10" i="40"/>
  <c r="E10" i="40"/>
  <c r="N10" i="40"/>
  <c r="C10" i="40"/>
  <c r="L10" i="39"/>
  <c r="C8" i="39"/>
  <c r="C4" i="39"/>
  <c r="L6" i="39"/>
  <c r="I10" i="39"/>
  <c r="C7" i="39"/>
  <c r="R2" i="39"/>
  <c r="C43" i="39"/>
  <c r="R10" i="39"/>
  <c r="H10" i="39"/>
  <c r="Q10" i="39"/>
  <c r="G10" i="39"/>
  <c r="I2" i="39"/>
  <c r="C10" i="39"/>
  <c r="P10" i="39"/>
  <c r="F10" i="39"/>
  <c r="D10" i="39"/>
  <c r="C6" i="39"/>
  <c r="L4" i="39"/>
  <c r="O10" i="39"/>
  <c r="E10" i="39"/>
  <c r="F6" i="39"/>
  <c r="N10" i="39"/>
  <c r="M10" i="39"/>
  <c r="L10" i="38"/>
  <c r="C8" i="38"/>
  <c r="C4" i="38"/>
  <c r="R10" i="38"/>
  <c r="L6" i="38"/>
  <c r="I10" i="38"/>
  <c r="C7" i="38"/>
  <c r="R2" i="38"/>
  <c r="P10" i="38"/>
  <c r="M10" i="38"/>
  <c r="C43" i="38"/>
  <c r="H10" i="38"/>
  <c r="C10" i="38"/>
  <c r="Q10" i="38"/>
  <c r="G10" i="38"/>
  <c r="I2" i="38"/>
  <c r="F10" i="38"/>
  <c r="O10" i="38"/>
  <c r="E10" i="38"/>
  <c r="F6" i="38"/>
  <c r="R2" i="28"/>
  <c r="I2" i="28"/>
  <c r="N10" i="38"/>
  <c r="D10" i="38"/>
  <c r="C6" i="38"/>
  <c r="L4" i="38"/>
  <c r="D15" i="18"/>
  <c r="N11" i="18"/>
  <c r="F11" i="18"/>
  <c r="L7" i="18"/>
  <c r="M9" i="18"/>
  <c r="M4" i="18"/>
  <c r="L9" i="18"/>
  <c r="L64" i="18"/>
  <c r="D67" i="18"/>
  <c r="D70" i="18"/>
  <c r="D68" i="18"/>
  <c r="D71" i="18"/>
  <c r="D69" i="18"/>
  <c r="D66" i="18"/>
  <c r="D65" i="18"/>
  <c r="D72" i="18"/>
  <c r="L59" i="18"/>
  <c r="D52" i="18"/>
  <c r="D63" i="18"/>
  <c r="E4" i="18"/>
  <c r="D61" i="18"/>
  <c r="N10" i="36"/>
  <c r="M10" i="36"/>
  <c r="L10" i="36"/>
  <c r="K10" i="36"/>
  <c r="H5" i="36"/>
  <c r="H10" i="36"/>
  <c r="G10" i="36"/>
  <c r="F10" i="36"/>
  <c r="E10" i="36"/>
  <c r="E5" i="36"/>
  <c r="D10" i="36"/>
  <c r="C10" i="36"/>
  <c r="C8" i="36"/>
  <c r="C7" i="36"/>
  <c r="C6" i="36"/>
  <c r="C4" i="36"/>
  <c r="C2" i="36"/>
  <c r="C2" i="28"/>
  <c r="R10" i="28"/>
  <c r="Q10" i="28"/>
  <c r="P10" i="28"/>
  <c r="O10" i="28"/>
  <c r="N10" i="28"/>
  <c r="M10" i="28"/>
  <c r="L10" i="28"/>
  <c r="L6" i="28"/>
  <c r="L4" i="28"/>
  <c r="L2" i="28"/>
  <c r="C43" i="28"/>
  <c r="I10" i="28"/>
  <c r="H10" i="28"/>
  <c r="G10" i="28"/>
  <c r="F10" i="28"/>
  <c r="E10" i="28"/>
  <c r="D10" i="28"/>
  <c r="C10" i="28"/>
  <c r="C8" i="28"/>
  <c r="C7" i="28"/>
  <c r="F6" i="28"/>
  <c r="C6" i="28"/>
  <c r="C4" i="28"/>
  <c r="E32" i="18"/>
  <c r="L71" i="18" l="1"/>
  <c r="L61" i="18"/>
  <c r="L69" i="18"/>
  <c r="L60" i="18"/>
  <c r="L70" i="18"/>
  <c r="L68" i="18"/>
  <c r="L58" i="18"/>
  <c r="L54" i="18"/>
  <c r="L65" i="18"/>
  <c r="L57" i="18"/>
  <c r="L56" i="18"/>
  <c r="L51" i="18"/>
  <c r="L63" i="18"/>
  <c r="L55" i="18"/>
  <c r="L62" i="18"/>
  <c r="L43" i="18"/>
  <c r="L33" i="18"/>
  <c r="L25" i="18"/>
  <c r="L17" i="18"/>
  <c r="D58" i="18"/>
  <c r="D39" i="18"/>
  <c r="F31" i="18"/>
  <c r="D20" i="18"/>
  <c r="D38" i="18"/>
  <c r="D31" i="18"/>
  <c r="D16" i="18"/>
  <c r="A3" i="24"/>
  <c r="D9" i="18"/>
  <c r="L26" i="18"/>
  <c r="D7" i="18"/>
  <c r="L50" i="18"/>
  <c r="L42" i="18"/>
  <c r="L32" i="18"/>
  <c r="L24" i="18"/>
  <c r="L16" i="18"/>
  <c r="D55" i="18"/>
  <c r="D33" i="18"/>
  <c r="L44" i="18"/>
  <c r="L49" i="18"/>
  <c r="L41" i="18"/>
  <c r="L31" i="18"/>
  <c r="L23" i="18"/>
  <c r="L15" i="18"/>
  <c r="D53" i="18"/>
  <c r="D37" i="18"/>
  <c r="D29" i="18"/>
  <c r="D27" i="18"/>
  <c r="L27" i="18"/>
  <c r="D41" i="18"/>
  <c r="L48" i="18"/>
  <c r="L39" i="18"/>
  <c r="L30" i="18"/>
  <c r="L22" i="18"/>
  <c r="L14" i="18"/>
  <c r="D36" i="18"/>
  <c r="L19" i="18"/>
  <c r="L18" i="18"/>
  <c r="L47" i="18"/>
  <c r="L38" i="18"/>
  <c r="L29" i="18"/>
  <c r="L21" i="18"/>
  <c r="L13" i="18"/>
  <c r="D47" i="18"/>
  <c r="D35" i="18"/>
  <c r="D25" i="18"/>
  <c r="D12" i="18"/>
  <c r="D62" i="18"/>
  <c r="D60" i="18"/>
  <c r="L46" i="18"/>
  <c r="L36" i="18"/>
  <c r="L28" i="18"/>
  <c r="L20" i="18"/>
  <c r="F62" i="18"/>
  <c r="A4" i="24"/>
  <c r="D34" i="18"/>
  <c r="D24" i="18"/>
  <c r="E9" i="18"/>
  <c r="L45" i="18"/>
  <c r="L35" i="18"/>
  <c r="D23" i="18"/>
  <c r="L34" i="18"/>
  <c r="D22" i="18"/>
  <c r="I6" i="28" l="1"/>
  <c r="H6" i="28"/>
  <c r="N32" i="36"/>
  <c r="N33" i="36"/>
  <c r="N34" i="36"/>
  <c r="N35" i="36"/>
  <c r="N36" i="36"/>
  <c r="N37" i="36"/>
  <c r="N38" i="36"/>
  <c r="N39" i="36"/>
  <c r="N40" i="36"/>
  <c r="N41" i="36"/>
  <c r="N42" i="36"/>
  <c r="R17" i="28"/>
  <c r="R19" i="28"/>
  <c r="R21" i="28"/>
  <c r="R25" i="28"/>
  <c r="R27" i="28"/>
  <c r="R33" i="28"/>
  <c r="R34" i="28"/>
  <c r="R35" i="28"/>
  <c r="R36" i="28"/>
  <c r="R37" i="28"/>
  <c r="R38" i="28"/>
  <c r="R39" i="28"/>
  <c r="R40" i="28"/>
  <c r="R41" i="28"/>
  <c r="R42" i="28"/>
  <c r="E43" i="36"/>
  <c r="E2" i="36" s="1"/>
  <c r="K13" i="36"/>
  <c r="L13" i="36"/>
  <c r="M13" i="36"/>
  <c r="K14" i="36"/>
  <c r="L14" i="36"/>
  <c r="M14" i="36"/>
  <c r="K15" i="36"/>
  <c r="L15" i="36"/>
  <c r="M15" i="36"/>
  <c r="K16" i="36"/>
  <c r="L16" i="36"/>
  <c r="M16" i="36"/>
  <c r="K17" i="36"/>
  <c r="L17" i="36"/>
  <c r="M17" i="36"/>
  <c r="K18" i="36"/>
  <c r="L18" i="36"/>
  <c r="M18" i="36"/>
  <c r="K19" i="36"/>
  <c r="L19" i="36"/>
  <c r="M19" i="36"/>
  <c r="K20" i="36"/>
  <c r="L20" i="36"/>
  <c r="M20" i="36"/>
  <c r="K21" i="36"/>
  <c r="L21" i="36"/>
  <c r="M21" i="36"/>
  <c r="K22" i="36"/>
  <c r="L22" i="36"/>
  <c r="M22" i="36"/>
  <c r="K23" i="36"/>
  <c r="L23" i="36"/>
  <c r="M23" i="36"/>
  <c r="K24" i="36"/>
  <c r="L24" i="36"/>
  <c r="M24" i="36"/>
  <c r="K25" i="36"/>
  <c r="L25" i="36"/>
  <c r="M25" i="36"/>
  <c r="K26" i="36"/>
  <c r="L26" i="36"/>
  <c r="M26" i="36"/>
  <c r="K27" i="36"/>
  <c r="L27" i="36"/>
  <c r="M27" i="36"/>
  <c r="K28" i="36"/>
  <c r="L28" i="36"/>
  <c r="M28" i="36"/>
  <c r="K29" i="36"/>
  <c r="L29" i="36"/>
  <c r="M29" i="36"/>
  <c r="K30" i="36"/>
  <c r="L30" i="36"/>
  <c r="M30" i="36"/>
  <c r="K31" i="36"/>
  <c r="L31" i="36"/>
  <c r="M31" i="36"/>
  <c r="K32" i="36"/>
  <c r="L32" i="36"/>
  <c r="M32" i="36"/>
  <c r="K33" i="36"/>
  <c r="L33" i="36"/>
  <c r="M33" i="36"/>
  <c r="K34" i="36"/>
  <c r="L34" i="36"/>
  <c r="M34" i="36"/>
  <c r="K35" i="36"/>
  <c r="L35" i="36"/>
  <c r="M35" i="36"/>
  <c r="K36" i="36"/>
  <c r="L36" i="36"/>
  <c r="M36" i="36"/>
  <c r="K37" i="36"/>
  <c r="L37" i="36"/>
  <c r="M37" i="36"/>
  <c r="K38" i="36"/>
  <c r="L38" i="36"/>
  <c r="M38" i="36"/>
  <c r="K39" i="36"/>
  <c r="L39" i="36"/>
  <c r="M39" i="36"/>
  <c r="K40" i="36"/>
  <c r="L40" i="36"/>
  <c r="M40" i="36"/>
  <c r="K41" i="36"/>
  <c r="L41" i="36"/>
  <c r="M41" i="36"/>
  <c r="K42" i="36"/>
  <c r="L42" i="36"/>
  <c r="M42" i="36"/>
  <c r="M12" i="36"/>
  <c r="L12" i="36"/>
  <c r="K12" i="36"/>
  <c r="R32" i="28"/>
  <c r="I43" i="28"/>
  <c r="R12" i="28" s="1"/>
  <c r="N25" i="36" l="1"/>
  <c r="N17" i="36"/>
  <c r="N12" i="36"/>
  <c r="N29" i="36"/>
  <c r="N21" i="36"/>
  <c r="N13" i="36"/>
  <c r="N30" i="36"/>
  <c r="N22" i="36"/>
  <c r="N19" i="36"/>
  <c r="N14" i="36"/>
  <c r="N27" i="36"/>
  <c r="N24" i="36"/>
  <c r="N16" i="36"/>
  <c r="N26" i="36"/>
  <c r="N18" i="36"/>
  <c r="N31" i="36"/>
  <c r="N23" i="36"/>
  <c r="N15" i="36"/>
  <c r="N28" i="36"/>
  <c r="N20" i="36"/>
  <c r="R13" i="28"/>
  <c r="R29" i="28"/>
  <c r="R26" i="28"/>
  <c r="R18" i="28"/>
  <c r="R24" i="28"/>
  <c r="R16" i="28"/>
  <c r="R31" i="28"/>
  <c r="R23" i="28"/>
  <c r="R15" i="28"/>
  <c r="R30" i="28"/>
  <c r="R22" i="28"/>
  <c r="R14" i="28"/>
  <c r="R28" i="28"/>
  <c r="R20" i="28"/>
  <c r="F43" i="28" l="1"/>
</calcChain>
</file>

<file path=xl/sharedStrings.xml><?xml version="1.0" encoding="utf-8"?>
<sst xmlns="http://schemas.openxmlformats.org/spreadsheetml/2006/main" count="468" uniqueCount="463">
  <si>
    <t>Ja</t>
  </si>
  <si>
    <t>Nein</t>
  </si>
  <si>
    <t>Yes</t>
  </si>
  <si>
    <t>No</t>
  </si>
  <si>
    <t>Deutsch</t>
  </si>
  <si>
    <t>Sprache/Language:</t>
  </si>
  <si>
    <t>Mit ALT+ENTER kann man einen Zeilenumbruch einfügen.</t>
  </si>
  <si>
    <t>To add a new line please press ALT + ENTER.</t>
  </si>
  <si>
    <t>Name des Unternehmens:</t>
  </si>
  <si>
    <t>Company name:</t>
  </si>
  <si>
    <t>Vollständige Anschrift:</t>
  </si>
  <si>
    <t>Full address:</t>
  </si>
  <si>
    <t>Kontaktperson</t>
  </si>
  <si>
    <t>Contact person</t>
  </si>
  <si>
    <t>Name:</t>
  </si>
  <si>
    <t>Funktion:</t>
  </si>
  <si>
    <t>Function:</t>
  </si>
  <si>
    <t>Telefonnummer:</t>
  </si>
  <si>
    <t>Phone number:</t>
  </si>
  <si>
    <t>E-Mail-Adresse:</t>
  </si>
  <si>
    <t>E-mail address:</t>
  </si>
  <si>
    <t>Angaben zum Produkt</t>
  </si>
  <si>
    <t>Product details</t>
  </si>
  <si>
    <t>Handelsname der Produkts:</t>
  </si>
  <si>
    <t>Trade name of the product:</t>
  </si>
  <si>
    <t>Angaben zum Unternehmen</t>
  </si>
  <si>
    <t>Company Information</t>
  </si>
  <si>
    <t>Mehfachauswahl nicht zulässig!</t>
  </si>
  <si>
    <t>Multiple selection not permitted!</t>
  </si>
  <si>
    <t>Ja/Nein</t>
  </si>
  <si>
    <t>(großes "X" eintragen)</t>
  </si>
  <si>
    <t>(fill in capital "X")</t>
  </si>
  <si>
    <t>Antragsformular (Anlage 1)</t>
  </si>
  <si>
    <t>Application form (Annex 1)</t>
  </si>
  <si>
    <t>Change Log</t>
  </si>
  <si>
    <t>English</t>
  </si>
  <si>
    <t>Erstveröffentlichung</t>
  </si>
  <si>
    <t>First published</t>
  </si>
  <si>
    <t>DE-UZ 225 - Ausgabe Juli 2022</t>
  </si>
  <si>
    <t>DE-UZ 225 - Edition July 2022</t>
  </si>
  <si>
    <t>Schadstoffarme Fassadenfarben</t>
  </si>
  <si>
    <t>Markieren Sie welcher Kategorie die Fassadenfarbe zuzuordnen ist:</t>
  </si>
  <si>
    <t>Grundierung für Fassadenfarben nach DIN EN 1062-1</t>
  </si>
  <si>
    <t>Dispersionsfarbe</t>
  </si>
  <si>
    <t>Dispersions-Silikat-Fassadenfarbe</t>
  </si>
  <si>
    <t>Silikonharzfarbe</t>
  </si>
  <si>
    <t>Silikatfarbe</t>
  </si>
  <si>
    <t>Silikatfarbe in Pulverform</t>
  </si>
  <si>
    <r>
      <t>W</t>
    </r>
    <r>
      <rPr>
        <vertAlign val="subscript"/>
        <sz val="10"/>
        <rFont val="Verdana"/>
        <family val="2"/>
      </rPr>
      <t>0</t>
    </r>
  </si>
  <si>
    <r>
      <t>W</t>
    </r>
    <r>
      <rPr>
        <vertAlign val="subscript"/>
        <sz val="10"/>
        <rFont val="Verdana"/>
        <family val="2"/>
      </rPr>
      <t>1</t>
    </r>
  </si>
  <si>
    <r>
      <t>W</t>
    </r>
    <r>
      <rPr>
        <vertAlign val="subscript"/>
        <sz val="10"/>
        <rFont val="Verdana"/>
        <family val="2"/>
      </rPr>
      <t>2</t>
    </r>
  </si>
  <si>
    <r>
      <t>W</t>
    </r>
    <r>
      <rPr>
        <vertAlign val="subscript"/>
        <sz val="10"/>
        <rFont val="Verdana"/>
        <family val="2"/>
      </rPr>
      <t>3</t>
    </r>
  </si>
  <si>
    <r>
      <t>V</t>
    </r>
    <r>
      <rPr>
        <vertAlign val="subscript"/>
        <sz val="10"/>
        <rFont val="Verdana"/>
        <family val="2"/>
      </rPr>
      <t>1</t>
    </r>
  </si>
  <si>
    <r>
      <t>V</t>
    </r>
    <r>
      <rPr>
        <vertAlign val="subscript"/>
        <sz val="10"/>
        <rFont val="Verdana"/>
        <family val="2"/>
      </rPr>
      <t>2</t>
    </r>
  </si>
  <si>
    <r>
      <t>V</t>
    </r>
    <r>
      <rPr>
        <vertAlign val="subscript"/>
        <sz val="10"/>
        <rFont val="Verdana"/>
        <family val="2"/>
      </rPr>
      <t>3</t>
    </r>
  </si>
  <si>
    <t>Die Fassadenfarbe hat nach DIN EN 1062-1 einen Wasserdurchlässigkeitswert von</t>
  </si>
  <si>
    <t>Die Fassadenfarbe hat nach DIN EN 1062-1 eine Wasserdampfdiffusionsströmungsdichte von</t>
  </si>
  <si>
    <t>Tic which category the facade paint is assigned to:</t>
  </si>
  <si>
    <t>Low-pollutant facade paints</t>
  </si>
  <si>
    <t>Funktion</t>
  </si>
  <si>
    <t>Function</t>
  </si>
  <si>
    <t>Manufacturer / Supplier</t>
  </si>
  <si>
    <t>Hersteller / Lieferant</t>
  </si>
  <si>
    <t>SDS
beige-
fügt?</t>
  </si>
  <si>
    <t>SDS
attached?</t>
  </si>
  <si>
    <t>Chemikalien-
erklärung
beigefügt?</t>
  </si>
  <si>
    <t>Chemical
declaration
attached?</t>
  </si>
  <si>
    <t>Einsatz-
menge
[Gew.-%]</t>
  </si>
  <si>
    <t>nichtflüchtiger Anteil:</t>
  </si>
  <si>
    <t>Spezifische Dichte [g/ml]:</t>
  </si>
  <si>
    <t>non-volatile-matter content:</t>
  </si>
  <si>
    <t>Specific Density [g/ml]</t>
  </si>
  <si>
    <t>Quantity
used
% (w/w)</t>
  </si>
  <si>
    <t>Kalkfarbe</t>
  </si>
  <si>
    <t>Substance/Trade Name
(as stated in the material safety
data sheet or the IUPAC Name)</t>
  </si>
  <si>
    <t>Basis 1</t>
  </si>
  <si>
    <t>Basis 2</t>
  </si>
  <si>
    <t>Basis 3</t>
  </si>
  <si>
    <t>Base 1</t>
  </si>
  <si>
    <t>Base 2</t>
  </si>
  <si>
    <t>Base 3</t>
  </si>
  <si>
    <t>Substance/Trade Name of the
colour paste/ of the pigment
(as stated in the material safety
data sheet or the IUPAC Name)</t>
  </si>
  <si>
    <t>Substanz-/Handelsname
(wie im Sicherheitsdatenblatt
angegeben oder IUPAC Name)</t>
  </si>
  <si>
    <t>Substanz-/Handelsname der
Farbpaste/des Pigments
(wie im Sicherheitsdatenblatt
angegeben oder IUPAC Name)</t>
  </si>
  <si>
    <t>Einsatzmenge in
der fertigen Farbe
[Gew.-%]</t>
  </si>
  <si>
    <t>VOC
[Gew.-%]</t>
  </si>
  <si>
    <t>VOC
[% (w/w)]</t>
  </si>
  <si>
    <t>Quantity used
in the final paint
[% (w/w)]</t>
  </si>
  <si>
    <t>Summe</t>
  </si>
  <si>
    <t>Rezeptur 1</t>
  </si>
  <si>
    <t>Composition 1</t>
  </si>
  <si>
    <t>Mischsystem mit mehreren miteinander gemischten Basen</t>
  </si>
  <si>
    <t>Mixing system with several bases mixed together</t>
  </si>
  <si>
    <t>VOC mit
allen Basen
[Gew.-%]</t>
  </si>
  <si>
    <t>VOC with
all bases
[% (w/w)]</t>
  </si>
  <si>
    <t>VOC
mit Basis
[Gew.-%]</t>
  </si>
  <si>
    <t>VOC
with base
[% (w/w)]</t>
  </si>
  <si>
    <t>wenn zutreffend</t>
  </si>
  <si>
    <t>if applicable</t>
  </si>
  <si>
    <t>Mischungsverhältnis
[%]</t>
  </si>
  <si>
    <t>VOC mit
Basis 1
[Gew.-%]</t>
  </si>
  <si>
    <t>VOC with
base 1
[% (w/w)]</t>
  </si>
  <si>
    <t>VOC mit
Basis 2
[Gew.-%]</t>
  </si>
  <si>
    <t>VOC mit
Basis 3
[Gew.-%]</t>
  </si>
  <si>
    <t>VOC with
base 2
[% (w/w)]</t>
  </si>
  <si>
    <t>VOC with
base 3
[% (w/w)]</t>
  </si>
  <si>
    <t>Das Mischungsverhältnis muss 100% ergeben!</t>
  </si>
  <si>
    <t>The mixing ratio must result in 100%!</t>
  </si>
  <si>
    <t>Mixing ratio
[%]</t>
  </si>
  <si>
    <t>The base is sold separately.</t>
  </si>
  <si>
    <t>Die Basis wird separat verkauft.</t>
  </si>
  <si>
    <t>Mischsystem mit Basis 1</t>
  </si>
  <si>
    <t>Mixing system with base 1</t>
  </si>
  <si>
    <t>Shade:</t>
  </si>
  <si>
    <t>Farbton:</t>
  </si>
  <si>
    <t>used as base for a mixing system</t>
  </si>
  <si>
    <t>als Basis für ein Mischsystem verwendet</t>
  </si>
  <si>
    <t>Sicherheitsdatenblätter für alle verwendeten Rohstoffe.</t>
  </si>
  <si>
    <t>Sicherheitsdatenblätter für alle angemeldeten Fassadenfarben.</t>
  </si>
  <si>
    <t>Ein Prüfbericht über eine Schnellbewitterungsprüfung nach Anhang D</t>
  </si>
  <si>
    <t>alternativ</t>
  </si>
  <si>
    <t>Technische Merkblätter für alle angemeldeten Fassadenfarben.</t>
  </si>
  <si>
    <t>Gebindetexte für alle Angemeldeten Fassadenfarben.</t>
  </si>
  <si>
    <t>Safety data sheets for all raw materials used.</t>
  </si>
  <si>
    <t>Safety data sheets for all registered facade paints.</t>
  </si>
  <si>
    <t>Technical data sheets for all registered facade paints.</t>
  </si>
  <si>
    <t>Container texts for all registered facade paints.</t>
  </si>
  <si>
    <t>The following information must be provided on the container text and the technical data sheet:</t>
  </si>
  <si>
    <t>Dispersion paint</t>
  </si>
  <si>
    <t>Primer for facade paints according to DIN EN 1062-1</t>
  </si>
  <si>
    <t>Dispersion silicate facade paint</t>
  </si>
  <si>
    <t>Silicone resin paint</t>
  </si>
  <si>
    <t>Silicate paint</t>
  </si>
  <si>
    <t>Silicate paint in powder form</t>
  </si>
  <si>
    <t>Lime paint</t>
  </si>
  <si>
    <t>According to DIN EN 1062-1, the facade paint has a water permeability value of</t>
  </si>
  <si>
    <t>According to DIN EN 1062-1, the facade paint has a water vapor diffusion flow density of</t>
  </si>
  <si>
    <t>Letzte Aktualisierung:</t>
  </si>
  <si>
    <t>Last updated:</t>
  </si>
  <si>
    <t>Anmerkung</t>
  </si>
  <si>
    <t>Notes</t>
  </si>
  <si>
    <t>„Für Kinder unzugänglich aufzubewahren.“</t>
  </si>
  <si>
    <t>„Nicht in die Kanalisation, Gewässer oder Erdreich gelangen lassen.“</t>
  </si>
  <si>
    <t>Technische Merkblätter: Inhaltsstoffe der Fassadenfarbe</t>
  </si>
  <si>
    <t>Verbrauchsdaten</t>
  </si>
  <si>
    <t>Lagerfähigkeit</t>
  </si>
  <si>
    <t>Lagerbedingungen</t>
  </si>
  <si>
    <t>Zusätzliche Hinweise für gekennzeichnete Fassadenfarben (GHS05 und/oder GHS07)</t>
  </si>
  <si>
    <t>„Tragen Sie eine Schutzbrille und Staubfilter P2!“</t>
  </si>
  <si>
    <t>„Schützen Sie Ihre Hände mit wasserdichten, robusten Handschuhen!“</t>
  </si>
  <si>
    <t>„Tragen Sie geschlossene Arbeitskleidung!“</t>
  </si>
  <si>
    <t>„Je länger frische Fassadenfarbe auf Ihrer Haut verbleibt, umso größer ist die Gefahr von ernsten Hautschäden.“</t>
  </si>
  <si>
    <t>„Kinder von frischer Fassadenfarbe fernhalten!“</t>
  </si>
  <si>
    <t>„Den Arbeitsschutzhinweisen des Herstellers während der Verarbeitungsphase ist unbedingt Folge zu leisten.“</t>
  </si>
  <si>
    <t>Technische Merkblätter: Applikationsmöglichkeiten</t>
  </si>
  <si>
    <t>Gebindetexte: Hinweis auf das technische Merkblatt inklusive Bezugsquelle desselben</t>
  </si>
  <si>
    <t>„Wird eine Fassadenfarbe mit einer Pigment- oder Abtönpaste, die nicht konform zu den Anforderungen des</t>
  </si>
  <si>
    <t>Blauen Engels ist, abgetönt, entspricht die abgetönte Farbe nicht mehr den Kriterien des Blauen Engels.“</t>
  </si>
  <si>
    <t>„Bei Berührung mit den Augen oder der Haut sofort gründlich mit Wasser spülen.“</t>
  </si>
  <si>
    <t>„Essen, Trinken und Rauchen während des Gebrauchs der Fassadenfarbe ist zu vermeiden.“</t>
  </si>
  <si>
    <t>„Materialreste können eingetrocknet als Hausmüll entsorgt werden.“</t>
  </si>
  <si>
    <t>„Nur restentleerte Gebinde zum Recycling geben.“</t>
  </si>
  <si>
    <t>Eine Applikation durch Spritzen ist möglich.</t>
  </si>
  <si>
    <t>Hinweise, die auf dem Gebindetext und dem technischen Merkblatt vorhanden sein müssen:</t>
  </si>
  <si>
    <t>Gebindetexte: Art der Fassadenfarbe im Zusammenhang mit der Produktbezeichnung</t>
  </si>
  <si>
    <t>Technische Merkblätter: Bindemittelbasis</t>
  </si>
  <si>
    <t>Es werden sonstige technische Eigenschaften, die nicht mit genormten Methoden nachgewiesen sind, ausgelobt.</t>
  </si>
  <si>
    <t>Das technische Merkblatt ist auf folgender Internetseite abrufbar:</t>
  </si>
  <si>
    <t>Erklärungen der Titandioxidhersteller für alle verwendeten Titandioxidpigmente (Anlage T).</t>
  </si>
  <si>
    <t>Declarations from the titanium dioxide manufacturers for all titanium dioxide pigments used (Annex T).</t>
  </si>
  <si>
    <t>Es werden folgende technische Eigenschaften ausgelobt:</t>
  </si>
  <si>
    <t>Chemikalienerklärungen für alle verwendeten Rohstoffe (Anlage R).</t>
  </si>
  <si>
    <t>Chemical declarations for all raw materials used (Annex R).</t>
  </si>
  <si>
    <t>Test report according to DIN ISO 11890-2.</t>
  </si>
  <si>
    <t>Test report according to DIN EN 17895.</t>
  </si>
  <si>
    <t>Prüfbericht nach DIN EN ISO 17895.</t>
  </si>
  <si>
    <t>Prüfbericht nach DIN ISO 11890-2.</t>
  </si>
  <si>
    <t>Der VOC-Gehalt beträgt:</t>
  </si>
  <si>
    <t>Gew.-%</t>
  </si>
  <si>
    <t>% (w/w)</t>
  </si>
  <si>
    <t>Weitere Erklärungen</t>
  </si>
  <si>
    <t>Hiermit erklären wir die Einhaltung aller Anforderung gemäß Abschnitt 3 der Vergabekriterien.</t>
  </si>
  <si>
    <t>„Information für Allergiker unter Telefon-Nr.: ……“</t>
  </si>
  <si>
    <t>zulässigen Topfkonservierungen)</t>
  </si>
  <si>
    <t>„Produkt enthält ……“ (Nennung der/des Namens des/der Konservierungsmittelwirkstoffe gemäß der Liste der</t>
  </si>
  <si>
    <t>„Sollte die Fassadenfarbe mit Ihren Augen in Berührung kommen, sofort mit viel Wasser auswaschen und einen</t>
  </si>
  <si>
    <t>Augenarzt aufsuchen.“</t>
  </si>
  <si>
    <t>Eigenschaften mit Nachweis durch genormten Methoden:</t>
  </si>
  <si>
    <t>Eigenschaften ohne Nachweis durch genormte Methoden:</t>
  </si>
  <si>
    <t>DE - Deutsch</t>
  </si>
  <si>
    <t>EN - English</t>
  </si>
  <si>
    <t>Original</t>
  </si>
  <si>
    <t>#0001</t>
  </si>
  <si>
    <t>Spalte</t>
  </si>
  <si>
    <t>#0002</t>
  </si>
  <si>
    <t>#0003</t>
  </si>
  <si>
    <t>#0004</t>
  </si>
  <si>
    <t>#0005</t>
  </si>
  <si>
    <t>#0006</t>
  </si>
  <si>
    <t>#0007</t>
  </si>
  <si>
    <t>#0008</t>
  </si>
  <si>
    <t>#0009</t>
  </si>
  <si>
    <t>#0010</t>
  </si>
  <si>
    <t>#0011</t>
  </si>
  <si>
    <t>#0012</t>
  </si>
  <si>
    <t>#0013</t>
  </si>
  <si>
    <t>#0014</t>
  </si>
  <si>
    <t>#0015</t>
  </si>
  <si>
    <t>#0016</t>
  </si>
  <si>
    <t>#0017</t>
  </si>
  <si>
    <t>#0018</t>
  </si>
  <si>
    <t>#0019</t>
  </si>
  <si>
    <t>#0020</t>
  </si>
  <si>
    <t>#0021</t>
  </si>
  <si>
    <t>#0022</t>
  </si>
  <si>
    <t>#0023</t>
  </si>
  <si>
    <t>#0024</t>
  </si>
  <si>
    <t>#0025</t>
  </si>
  <si>
    <t>#0026</t>
  </si>
  <si>
    <t>#0027</t>
  </si>
  <si>
    <t>#0028</t>
  </si>
  <si>
    <t>#0029</t>
  </si>
  <si>
    <t>#0030</t>
  </si>
  <si>
    <t>#0031</t>
  </si>
  <si>
    <t>#0032</t>
  </si>
  <si>
    <t>#0033</t>
  </si>
  <si>
    <t>#0034</t>
  </si>
  <si>
    <t>#0035</t>
  </si>
  <si>
    <t>#0036</t>
  </si>
  <si>
    <t>#0037</t>
  </si>
  <si>
    <t>#0038</t>
  </si>
  <si>
    <t>#0039</t>
  </si>
  <si>
    <t>#0040</t>
  </si>
  <si>
    <t>#0041</t>
  </si>
  <si>
    <t>#0042</t>
  </si>
  <si>
    <t>#0043</t>
  </si>
  <si>
    <t>#0044</t>
  </si>
  <si>
    <t>#0045</t>
  </si>
  <si>
    <t>#0046</t>
  </si>
  <si>
    <t>#0047</t>
  </si>
  <si>
    <t>#0048</t>
  </si>
  <si>
    <t>#0049</t>
  </si>
  <si>
    <t>#0050</t>
  </si>
  <si>
    <t>#0051</t>
  </si>
  <si>
    <t>#0052</t>
  </si>
  <si>
    <t>#0053</t>
  </si>
  <si>
    <t>#0054</t>
  </si>
  <si>
    <t>#0055</t>
  </si>
  <si>
    <t>#0056</t>
  </si>
  <si>
    <t>#0057</t>
  </si>
  <si>
    <t>#0058</t>
  </si>
  <si>
    <t>#0059</t>
  </si>
  <si>
    <t>#0060</t>
  </si>
  <si>
    <t>#0061</t>
  </si>
  <si>
    <t>#0062</t>
  </si>
  <si>
    <t>#0063</t>
  </si>
  <si>
    <t>#0064</t>
  </si>
  <si>
    <t>#0065</t>
  </si>
  <si>
    <t>#0066</t>
  </si>
  <si>
    <t>#0067</t>
  </si>
  <si>
    <t>#0068</t>
  </si>
  <si>
    <t>#0069</t>
  </si>
  <si>
    <t>#0070</t>
  </si>
  <si>
    <t>#0071</t>
  </si>
  <si>
    <t>#0072</t>
  </si>
  <si>
    <t>#0073</t>
  </si>
  <si>
    <t>#0074</t>
  </si>
  <si>
    <t>#0075</t>
  </si>
  <si>
    <t>#0076</t>
  </si>
  <si>
    <t>#0077</t>
  </si>
  <si>
    <t>#0078</t>
  </si>
  <si>
    <t>#0079</t>
  </si>
  <si>
    <t>#0080</t>
  </si>
  <si>
    <t>#0081</t>
  </si>
  <si>
    <t>#0082</t>
  </si>
  <si>
    <t>#0083</t>
  </si>
  <si>
    <t>#0084</t>
  </si>
  <si>
    <t>#0085</t>
  </si>
  <si>
    <t>#0086</t>
  </si>
  <si>
    <t>#0087</t>
  </si>
  <si>
    <t>#0088</t>
  </si>
  <si>
    <t>#0089</t>
  </si>
  <si>
    <t>#0090</t>
  </si>
  <si>
    <t>#0091</t>
  </si>
  <si>
    <t>#0092</t>
  </si>
  <si>
    <t>#0093</t>
  </si>
  <si>
    <t>#0094</t>
  </si>
  <si>
    <t>#0095</t>
  </si>
  <si>
    <t>#0096</t>
  </si>
  <si>
    <t>#0097</t>
  </si>
  <si>
    <t>#0098</t>
  </si>
  <si>
    <t>#0099</t>
  </si>
  <si>
    <t>#0100</t>
  </si>
  <si>
    <t>#0101</t>
  </si>
  <si>
    <t>#0102</t>
  </si>
  <si>
    <t>#0103</t>
  </si>
  <si>
    <t>#0104</t>
  </si>
  <si>
    <t>#0105</t>
  </si>
  <si>
    <t>#0106</t>
  </si>
  <si>
    <t>#0107</t>
  </si>
  <si>
    <t>#0108</t>
  </si>
  <si>
    <t>#0109</t>
  </si>
  <si>
    <t>#0110</t>
  </si>
  <si>
    <t>#0111</t>
  </si>
  <si>
    <t>#0112</t>
  </si>
  <si>
    <t>#0113</t>
  </si>
  <si>
    <t>#0114</t>
  </si>
  <si>
    <t>#0115</t>
  </si>
  <si>
    <t>#0116</t>
  </si>
  <si>
    <t>#0117</t>
  </si>
  <si>
    <t>#0118</t>
  </si>
  <si>
    <t>#0119</t>
  </si>
  <si>
    <t>Der pH-Wert der Fassadenfarbe beträgt:</t>
  </si>
  <si>
    <t>#0120</t>
  </si>
  <si>
    <t>#0121</t>
  </si>
  <si>
    <t>#0122</t>
  </si>
  <si>
    <t>#0123</t>
  </si>
  <si>
    <t>#0124</t>
  </si>
  <si>
    <t>#0125</t>
  </si>
  <si>
    <t>Eine gültige EPD (Umwelt-Produktdeklaration) nach DIN EN 15804.</t>
  </si>
  <si>
    <t>A valid EPD (Environmental Product Declaration) according to DIN EN 15804.</t>
  </si>
  <si>
    <t>Die EPD ist an folgender Stelle offentlich zugänglich:</t>
  </si>
  <si>
    <t>Einzureichende Dokumente</t>
  </si>
  <si>
    <t>Documents to be submitted</t>
  </si>
  <si>
    <t>Es werden sonstige technische Eigenschaften ausgelobt.</t>
  </si>
  <si>
    <t>#0126</t>
  </si>
  <si>
    <t>#0127</t>
  </si>
  <si>
    <t>#0128</t>
  </si>
  <si>
    <t>#0129</t>
  </si>
  <si>
    <t>#0130</t>
  </si>
  <si>
    <t>Der Nachweis erfolgte im Rahmen der DE-UZ 140 Wärmedämmverbundsysteme</t>
  </si>
  <si>
    <t>mittels Schnellbewitterungstest nach Anhang D.</t>
  </si>
  <si>
    <t>mittels Freibewitterungsversuchen (siehe Anhang D).</t>
  </si>
  <si>
    <t>mittels bewährten, repräsentativen Praxisobjekten (siehe Anhang D).</t>
  </si>
  <si>
    <t>oder</t>
  </si>
  <si>
    <t>or</t>
  </si>
  <si>
    <t>mittels weiteren Schnelltests oder Verfahren zur Beurteilung der Widerstandsfähigkeit gegen Auswuchs.</t>
  </si>
  <si>
    <t>Ein Bewertungsbericht des IBP für die alternativen Nachweise.</t>
  </si>
  <si>
    <t>Die Widerstandsfähigkeit gegen Aufwuchs wird nachgewiesen:</t>
  </si>
  <si>
    <t>entsprechenden Normen.</t>
  </si>
  <si>
    <t>Bei Auslobung sonstiger technischer Eigenschaften mit genormten Methoden: Nachweise gemäß der</t>
  </si>
  <si>
    <t>Seite 1/2</t>
  </si>
  <si>
    <t>Seite 2/2</t>
  </si>
  <si>
    <t>Page 1/2</t>
  </si>
  <si>
    <t>Page 2/2</t>
  </si>
  <si>
    <t>#0131</t>
  </si>
  <si>
    <t>#0132</t>
  </si>
  <si>
    <t>#0133</t>
  </si>
  <si>
    <t>#0134</t>
  </si>
  <si>
    <t>#0135</t>
  </si>
  <si>
    <t>#0136</t>
  </si>
  <si>
    <t>#0137</t>
  </si>
  <si>
    <t>Rezeptur 2</t>
  </si>
  <si>
    <t>Composition 2</t>
  </si>
  <si>
    <t>Rezeptur 3</t>
  </si>
  <si>
    <t>Composition 3</t>
  </si>
  <si>
    <t>Rezeptur 4</t>
  </si>
  <si>
    <t>Composition 4</t>
  </si>
  <si>
    <t>Mischsystem mit Basis 2</t>
  </si>
  <si>
    <t>Mixing system with base 2</t>
  </si>
  <si>
    <t>Mischsystem mit Basis 3</t>
  </si>
  <si>
    <t>Mixing system with base 3</t>
  </si>
  <si>
    <t>Mischsystem mit Basis 4</t>
  </si>
  <si>
    <t>Mixing system with base 4</t>
  </si>
  <si>
    <t>Basis 4</t>
  </si>
  <si>
    <t>Base 4</t>
  </si>
  <si>
    <t>#0138</t>
  </si>
  <si>
    <t>#0139</t>
  </si>
  <si>
    <t>#0140</t>
  </si>
  <si>
    <t>#0141</t>
  </si>
  <si>
    <t>#0142</t>
  </si>
  <si>
    <t>#0143</t>
  </si>
  <si>
    <t>#0144</t>
  </si>
  <si>
    <t>#0145</t>
  </si>
  <si>
    <t>#0146</t>
  </si>
  <si>
    <t>#0147</t>
  </si>
  <si>
    <t>#0148</t>
  </si>
  <si>
    <t>Scope</t>
  </si>
  <si>
    <t>Prüfbericht nach DIN EN 1062-1</t>
  </si>
  <si>
    <t>„Die Auslobung …… wurde nicht im Rahmen des Blauen Engels überprüft.“</t>
  </si>
  <si>
    <t>„Bei Spritznebel Kombifilter A2/P2 und Schutzbrille verwenden.“</t>
  </si>
  <si>
    <t>Geltungsbereich</t>
  </si>
  <si>
    <t>Erklärung über Einhaltung der Kriterien</t>
  </si>
  <si>
    <t>Hinweise</t>
  </si>
  <si>
    <t>Zusätzliche Hinweise</t>
  </si>
  <si>
    <t>Mischsystem 1</t>
  </si>
  <si>
    <t>Mischsystem 2</t>
  </si>
  <si>
    <t>Mischsystem 3</t>
  </si>
  <si>
    <t>Mischsystem 4</t>
  </si>
  <si>
    <t>Mehrere Basen plus Mischsystem</t>
  </si>
  <si>
    <t>#0149</t>
  </si>
  <si>
    <t>Additional notes</t>
  </si>
  <si>
    <t>Mixing system 1</t>
  </si>
  <si>
    <t>Mixed system 2</t>
  </si>
  <si>
    <t>Mixing system 3</t>
  </si>
  <si>
    <t>Mixing system 4</t>
  </si>
  <si>
    <t>Multiple bases plus mixing system</t>
  </si>
  <si>
    <t>Test report according to DIN EN 1062-1</t>
  </si>
  <si>
    <t>Declaration of compliance with the criteria</t>
  </si>
  <si>
    <t>The following technical properties are awarded:</t>
  </si>
  <si>
    <t>Properties with verification by standardized methods:</t>
  </si>
  <si>
    <t>Properties without verification by standardized methods:</t>
  </si>
  <si>
    <t>Total</t>
  </si>
  <si>
    <t>The EPD is publicly available at the following location:</t>
  </si>
  <si>
    <t>Other technical properties are offered.</t>
  </si>
  <si>
    <t>The verification was carried out within the framework of DE-UZ 140 External Thermal Insulation Composite Systems.</t>
  </si>
  <si>
    <t>The resistance to fouling is demonstrated:</t>
  </si>
  <si>
    <t>by further rapid tests or procedures for assessing resistance to outgrowth.</t>
  </si>
  <si>
    <t>alternatively</t>
  </si>
  <si>
    <t>If other technical properties are claimed using standardized methods: Verifications in accordance with the</t>
  </si>
  <si>
    <t>corresponding standards.</t>
  </si>
  <si>
    <t>An evaluation report from IBP for the alternative proofs.</t>
  </si>
  <si>
    <t>We hereby declare compliance with all requirement under Section 3 of the Award Criteria.</t>
  </si>
  <si>
    <t>Further declarations</t>
  </si>
  <si>
    <t>The VOC content is:</t>
  </si>
  <si>
    <t>The pH value of the facade paint is:</t>
  </si>
  <si>
    <t>Application by spraying is possible.</t>
  </si>
  <si>
    <t>permitted pot preservatives)</t>
  </si>
  <si>
    <t>Consumption data</t>
  </si>
  <si>
    <t>Shelf life</t>
  </si>
  <si>
    <t>Storage conditions</t>
  </si>
  <si>
    <t>Technical data sheets: Ingredients of facade paint</t>
  </si>
  <si>
    <t>Technical data sheets: Application possibilities</t>
  </si>
  <si>
    <t>Technical data sheets: Binder base</t>
  </si>
  <si>
    <t>Container texts: Reference to the technical leaflet including source of supply of the same</t>
  </si>
  <si>
    <t>Container texts: Type of facade paint in connection with the product name</t>
  </si>
  <si>
    <t>The technical data sheet is available on the following website:</t>
  </si>
  <si>
    <t>Other technical properties not proven by standardized methods are advertised.</t>
  </si>
  <si>
    <t>Additional instructions for labeled facade paints (GHS05 and/or GHS07).</t>
  </si>
  <si>
    <t>„Vermeiden Sie längeren Hautkontakt mit der Fassadenfarbe.</t>
  </si>
  <si>
    <t>Betroffene Hautteile sind sofort gründlich mit Wasser zu säubern.“</t>
  </si>
  <si>
    <t>„If the facade paint comes into contact with your eyes, wash out immediately with plenty of water and consult an</t>
  </si>
  <si>
    <t>„Avoid prolonged skin contact with the facade paint.</t>
  </si>
  <si>
    <t>„It is essential to follow the manufacturer's health and safety instructions during the application phase.“</t>
  </si>
  <si>
    <t>„Keep children away from fresh facade paint!“</t>
  </si>
  <si>
    <t>„The longer fresh facade paint remains on your skin, the greater the risk of serious skin damage.“</t>
  </si>
  <si>
    <t>Immediately wash affected skin thoroughly with water.“</t>
  </si>
  <si>
    <t>„Wear closed work clothes!“</t>
  </si>
  <si>
    <t>„Protect your hands with waterproof, robust gloves!“</t>
  </si>
  <si>
    <t>consult an ophthalmologist.“</t>
  </si>
  <si>
    <t>„Wear protective goggles and dust filter P2!“</t>
  </si>
  <si>
    <t>„If a facade paint is tinted with a pigment or tinting paste that does not conform to the requirements of the</t>
  </si>
  <si>
    <t>„Keep out of reach of children.“</t>
  </si>
  <si>
    <t>Blue Angel, the tinted paint no longer meets the Blue Angel criteria.“</t>
  </si>
  <si>
    <t>„In case of spraying mist, use combination filter A2/P2 and protective goggles.“</t>
  </si>
  <si>
    <t>„Avoid eating, drinking and smoking while using the facade paint.“</t>
  </si>
  <si>
    <t>„In case of contact with eyes or skin, rinse immediately with plenty of water.“</t>
  </si>
  <si>
    <t>„Do not allow to enter drains, waterways or soil.“</t>
  </si>
  <si>
    <t>„Give only residue-emptied containers for recycling.“</t>
  </si>
  <si>
    <t>„Material residues can be disposed of dried as household waste.“</t>
  </si>
  <si>
    <t>„Product contains ......“ (Mention the name(s) of the preservative active ingredient(s) according to the list of</t>
  </si>
  <si>
    <t>„Information for allergy sufferers at telephone no.: ......“</t>
  </si>
  <si>
    <t>„The claim ...... has not been verified within the framework of the Blue Angel.“</t>
  </si>
  <si>
    <t>A test report on a rapid weathering test according to Appendix D.</t>
  </si>
  <si>
    <t>by rapid weathering tests according to Appendix D.</t>
  </si>
  <si>
    <t>by outdoor weathering tests (see Appendix D).</t>
  </si>
  <si>
    <t>by proven, representative practical objects (see Appendix D).</t>
  </si>
  <si>
    <t>Contract or certificate according to DE-UZ 140, Edition 2019</t>
  </si>
  <si>
    <t>Vertrag oder Urkunde nach DE-UZ 140, Ausgabe 2019</t>
  </si>
  <si>
    <t>Änderung beim Hinweis zur Reinigung der Werkzeuge</t>
  </si>
  <si>
    <t>Change to the instruction on cleaning tools</t>
  </si>
  <si>
    <t>Ein Hinweis zur Reinigung der Werkzeuge ist auf dem Gebinde oder dem Technischen Merkblatt vorhanden.</t>
  </si>
  <si>
    <t>Information on cleaning the tools is provided on the container or the technical data sheet.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</si>
</sst>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4"/>
      <name val="Verdana"/>
      <family val="2"/>
    </font>
    <font>
      <b/>
      <u/>
      <sz val="10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b/>
      <sz val="10"/>
      <color rgb="FFFF0000"/>
      <name val="Verdana"/>
      <family val="2"/>
    </font>
    <font>
      <vertAlign val="subscript"/>
      <sz val="10"/>
      <name val="Verdana"/>
      <family val="2"/>
    </font>
    <font>
      <sz val="10"/>
      <name val="Webdings"/>
      <family val="1"/>
      <charset val="2"/>
    </font>
    <font>
      <sz val="10"/>
      <name val="Wingdings 3"/>
      <family val="1"/>
      <charset val="2"/>
    </font>
    <font>
      <i/>
      <sz val="10"/>
      <name val="Verdana"/>
      <family val="2"/>
    </font>
    <font>
      <b/>
      <i/>
      <sz val="10"/>
      <name val="Verdana"/>
      <family val="2"/>
    </font>
    <font>
      <sz val="10"/>
      <color theme="1"/>
      <name val="Webdings"/>
      <family val="1"/>
      <charset val="2"/>
    </font>
    <font>
      <sz val="10"/>
      <color theme="0"/>
      <name val="Webdings"/>
      <family val="1"/>
      <charset val="2"/>
    </font>
    <font>
      <b/>
      <sz val="10"/>
      <name val="Webdings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rgb="FFFFEFE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5" fillId="3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49" fontId="4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0" fontId="4" fillId="3" borderId="0" xfId="0" quotePrefix="1" applyFont="1" applyFill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8" fillId="4" borderId="0" xfId="0" applyFont="1" applyFill="1" applyAlignment="1">
      <alignment vertical="center"/>
    </xf>
    <xf numFmtId="0" fontId="6" fillId="3" borderId="0" xfId="0" quotePrefix="1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11" fillId="3" borderId="0" xfId="0" applyFont="1" applyFill="1" applyAlignment="1">
      <alignment horizontal="left"/>
    </xf>
    <xf numFmtId="0" fontId="5" fillId="5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/>
    </xf>
    <xf numFmtId="0" fontId="7" fillId="2" borderId="0" xfId="0" applyFont="1" applyFill="1" applyAlignment="1">
      <alignment vertical="center"/>
    </xf>
    <xf numFmtId="0" fontId="10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14" fillId="3" borderId="0" xfId="0" applyFont="1" applyFill="1" applyAlignment="1">
      <alignment vertical="center"/>
    </xf>
    <xf numFmtId="0" fontId="4" fillId="0" borderId="0" xfId="0" quotePrefix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6" borderId="1" xfId="0" applyFont="1" applyFill="1" applyBorder="1" applyAlignment="1" applyProtection="1">
      <alignment horizontal="left" vertical="center"/>
      <protection locked="0"/>
    </xf>
    <xf numFmtId="0" fontId="4" fillId="6" borderId="4" xfId="0" applyFont="1" applyFill="1" applyBorder="1" applyAlignment="1" applyProtection="1">
      <alignment horizontal="left" vertical="center"/>
      <protection locked="0"/>
    </xf>
    <xf numFmtId="0" fontId="4" fillId="6" borderId="5" xfId="0" applyFont="1" applyFill="1" applyBorder="1" applyAlignment="1" applyProtection="1">
      <alignment horizontal="left" vertical="center"/>
      <protection locked="0"/>
    </xf>
    <xf numFmtId="0" fontId="4" fillId="6" borderId="2" xfId="0" applyFont="1" applyFill="1" applyBorder="1" applyAlignment="1" applyProtection="1">
      <alignment horizontal="left" vertical="center"/>
      <protection locked="0"/>
    </xf>
    <xf numFmtId="0" fontId="4" fillId="6" borderId="1" xfId="0" applyFont="1" applyFill="1" applyBorder="1" applyAlignment="1" applyProtection="1">
      <alignment horizontal="left" vertical="center"/>
      <protection locked="0"/>
    </xf>
    <xf numFmtId="0" fontId="6" fillId="6" borderId="1" xfId="0" applyFont="1" applyFill="1" applyBorder="1" applyAlignment="1" applyProtection="1">
      <alignment horizontal="center" vertical="center"/>
      <protection locked="0"/>
    </xf>
    <xf numFmtId="0" fontId="16" fillId="7" borderId="1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>
      <alignment vertical="center"/>
    </xf>
    <xf numFmtId="0" fontId="11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right" vertical="center"/>
    </xf>
    <xf numFmtId="0" fontId="12" fillId="3" borderId="0" xfId="0" applyFont="1" applyFill="1" applyAlignment="1">
      <alignment horizontal="center" vertical="center"/>
    </xf>
    <xf numFmtId="14" fontId="12" fillId="3" borderId="0" xfId="0" applyNumberFormat="1" applyFont="1" applyFill="1" applyAlignment="1">
      <alignment horizontal="center" vertical="center"/>
    </xf>
    <xf numFmtId="0" fontId="13" fillId="3" borderId="0" xfId="0" applyFont="1" applyFill="1" applyAlignment="1">
      <alignment vertical="center"/>
    </xf>
    <xf numFmtId="0" fontId="11" fillId="3" borderId="0" xfId="0" applyFont="1" applyFill="1" applyAlignment="1">
      <alignment horizontal="right" vertical="center"/>
    </xf>
    <xf numFmtId="0" fontId="5" fillId="6" borderId="1" xfId="0" applyFont="1" applyFill="1" applyBorder="1" applyAlignment="1" applyProtection="1">
      <alignment vertical="center"/>
      <protection locked="0"/>
    </xf>
    <xf numFmtId="0" fontId="6" fillId="6" borderId="1" xfId="0" quotePrefix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2" fontId="11" fillId="3" borderId="5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justify" vertical="center"/>
    </xf>
    <xf numFmtId="0" fontId="7" fillId="3" borderId="0" xfId="0" applyFont="1" applyFill="1" applyAlignment="1">
      <alignment vertical="center"/>
    </xf>
    <xf numFmtId="0" fontId="4" fillId="3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/>
      <protection locked="0"/>
    </xf>
    <xf numFmtId="0" fontId="4" fillId="6" borderId="1" xfId="0" applyFont="1" applyFill="1" applyBorder="1" applyAlignment="1" applyProtection="1">
      <alignment vertical="center"/>
      <protection locked="0"/>
    </xf>
    <xf numFmtId="14" fontId="4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right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center" vertical="center"/>
    </xf>
    <xf numFmtId="0" fontId="4" fillId="0" borderId="1" xfId="0" applyFont="1" applyBorder="1"/>
    <xf numFmtId="0" fontId="4" fillId="2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 applyProtection="1">
      <alignment horizontal="center" vertical="center" shrinkToFit="1"/>
      <protection locked="0"/>
    </xf>
    <xf numFmtId="0" fontId="18" fillId="3" borderId="0" xfId="0" applyFont="1" applyFill="1" applyAlignment="1">
      <alignment horizontal="left" vertical="center"/>
    </xf>
    <xf numFmtId="0" fontId="4" fillId="2" borderId="9" xfId="0" applyFont="1" applyFill="1" applyBorder="1" applyAlignment="1">
      <alignment vertical="center"/>
    </xf>
    <xf numFmtId="0" fontId="19" fillId="3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left" vertical="center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5" fillId="5" borderId="0" xfId="0" applyFont="1" applyFill="1" applyAlignment="1">
      <alignment horizontal="left" vertical="center"/>
    </xf>
    <xf numFmtId="0" fontId="4" fillId="3" borderId="12" xfId="0" applyFont="1" applyFill="1" applyBorder="1" applyAlignment="1">
      <alignment vertical="center"/>
    </xf>
    <xf numFmtId="0" fontId="16" fillId="7" borderId="1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16" fillId="3" borderId="0" xfId="0" applyFont="1" applyFill="1" applyAlignment="1">
      <alignment vertical="center"/>
    </xf>
    <xf numFmtId="0" fontId="20" fillId="3" borderId="0" xfId="0" applyFont="1" applyFill="1" applyAlignment="1">
      <alignment vertical="center"/>
    </xf>
    <xf numFmtId="0" fontId="21" fillId="4" borderId="0" xfId="0" applyFont="1" applyFill="1" applyAlignment="1">
      <alignment vertical="center"/>
    </xf>
    <xf numFmtId="0" fontId="22" fillId="3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22" fillId="7" borderId="1" xfId="0" applyFont="1" applyFill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>
      <alignment horizontal="center" vertical="center" wrapText="1"/>
    </xf>
    <xf numFmtId="14" fontId="16" fillId="2" borderId="13" xfId="0" applyNumberFormat="1" applyFont="1" applyFill="1" applyBorder="1" applyAlignment="1">
      <alignment horizontal="center" vertical="center" wrapText="1"/>
    </xf>
    <xf numFmtId="0" fontId="4" fillId="6" borderId="7" xfId="0" applyFont="1" applyFill="1" applyBorder="1" applyAlignment="1" applyProtection="1">
      <alignment horizontal="center" vertical="center"/>
      <protection locked="0"/>
    </xf>
    <xf numFmtId="0" fontId="16" fillId="3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22" fillId="7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4" fillId="6" borderId="7" xfId="0" applyFont="1" applyFill="1" applyBorder="1" applyAlignment="1" applyProtection="1">
      <alignment horizontal="center" vertical="center"/>
      <protection locked="0"/>
    </xf>
    <xf numFmtId="0" fontId="4" fillId="6" borderId="8" xfId="0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143">
    <dxf>
      <fill>
        <patternFill>
          <bgColor rgb="FFFFFF00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ill>
        <patternFill>
          <bgColor theme="0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008000"/>
      </font>
    </dxf>
    <dxf>
      <font>
        <b/>
        <i val="0"/>
        <color rgb="FFCC9900"/>
      </font>
      <fill>
        <patternFill>
          <bgColor rgb="FFFFFFCC"/>
        </patternFill>
      </fill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9900"/>
      </font>
      <fill>
        <patternFill>
          <bgColor rgb="FFFF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008000"/>
      </font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ill>
        <patternFill>
          <bgColor theme="0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008000"/>
      </font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lor rgb="FFCC9900"/>
      </font>
      <fill>
        <patternFill>
          <bgColor rgb="FFFFFFCC"/>
        </patternFill>
      </fill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9900"/>
      </font>
      <fill>
        <patternFill>
          <bgColor rgb="FFFF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008000"/>
      </font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ill>
        <patternFill>
          <bgColor theme="0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008000"/>
      </font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lor rgb="FFCC9900"/>
      </font>
      <fill>
        <patternFill>
          <bgColor rgb="FFFFFFCC"/>
        </patternFill>
      </fill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9900"/>
      </font>
      <fill>
        <patternFill>
          <bgColor rgb="FFFF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008000"/>
      </font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ill>
        <patternFill>
          <bgColor theme="0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008000"/>
      </font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lor rgb="FFCC9900"/>
      </font>
      <fill>
        <patternFill>
          <bgColor rgb="FFFFFFCC"/>
        </patternFill>
      </fill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9900"/>
      </font>
      <fill>
        <patternFill>
          <bgColor rgb="FFFF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008000"/>
      </font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ill>
        <patternFill>
          <bgColor theme="0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008000"/>
      </font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lor rgb="FFCC9900"/>
      </font>
      <fill>
        <patternFill>
          <bgColor rgb="FFFFFFCC"/>
        </patternFill>
      </fill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9900"/>
      </font>
      <fill>
        <patternFill>
          <bgColor rgb="FFFFFF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ill>
        <patternFill>
          <bgColor theme="0"/>
        </patternFill>
      </fill>
      <border>
        <left/>
        <right/>
        <top/>
        <vertical/>
        <horizontal/>
      </border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/>
        </patternFill>
      </fill>
      <border>
        <left/>
        <right/>
        <top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bottom/>
        <vertical/>
        <horizontal/>
      </border>
    </dxf>
    <dxf>
      <fill>
        <patternFill>
          <bgColor theme="0"/>
        </patternFill>
      </fill>
      <border>
        <left/>
        <right/>
        <top/>
      </border>
    </dxf>
    <dxf>
      <fill>
        <patternFill>
          <bgColor theme="0"/>
        </patternFill>
      </fill>
      <border>
        <left/>
        <right/>
        <top/>
        <vertical/>
        <horizontal/>
      </border>
    </dxf>
    <dxf>
      <fill>
        <patternFill>
          <bgColor theme="0"/>
        </patternFill>
      </fill>
      <border>
        <left/>
        <right/>
        <bottom/>
        <vertical/>
        <horizontal/>
      </border>
    </dxf>
    <dxf>
      <fill>
        <patternFill>
          <bgColor theme="0"/>
        </patternFill>
      </fill>
      <border>
        <left/>
        <right/>
        <bottom/>
        <vertical/>
        <horizontal/>
      </border>
    </dxf>
    <dxf>
      <fill>
        <patternFill>
          <bgColor theme="0"/>
        </patternFill>
      </fill>
      <border>
        <left/>
        <right/>
        <bottom/>
        <vertical/>
        <horizontal/>
      </border>
    </dxf>
    <dxf>
      <fill>
        <patternFill>
          <bgColor theme="0"/>
        </patternFill>
      </fill>
      <border>
        <left/>
        <right/>
        <vertical/>
        <horizontal/>
      </border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/>
        </patternFill>
      </fill>
      <border>
        <left/>
        <right/>
        <bottom/>
        <vertical/>
        <horizontal/>
      </border>
    </dxf>
    <dxf>
      <fill>
        <patternFill>
          <bgColor theme="0"/>
        </patternFill>
      </fill>
      <border>
        <left/>
        <right/>
        <vertical/>
        <horizontal/>
      </border>
    </dxf>
    <dxf>
      <fill>
        <patternFill>
          <bgColor theme="0"/>
        </patternFill>
      </fill>
      <border>
        <left/>
        <right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FBEFE5"/>
      <color rgb="FFE5EFFB"/>
      <color rgb="FFFFCCCC"/>
      <color rgb="FFCC0000"/>
      <color rgb="FF008000"/>
      <color rgb="FFCCFFCC"/>
      <color rgb="FFFFFFCC"/>
      <color rgb="FFCC9900"/>
      <color rgb="FFFFEFE5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19</xdr:row>
          <xdr:rowOff>0</xdr:rowOff>
        </xdr:from>
        <xdr:to>
          <xdr:col>8</xdr:col>
          <xdr:colOff>0</xdr:colOff>
          <xdr:row>19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19</xdr:row>
          <xdr:rowOff>0</xdr:rowOff>
        </xdr:from>
        <xdr:to>
          <xdr:col>8</xdr:col>
          <xdr:colOff>0</xdr:colOff>
          <xdr:row>19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31</xdr:row>
          <xdr:rowOff>0</xdr:rowOff>
        </xdr:from>
        <xdr:to>
          <xdr:col>8</xdr:col>
          <xdr:colOff>0</xdr:colOff>
          <xdr:row>31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31</xdr:row>
          <xdr:rowOff>0</xdr:rowOff>
        </xdr:from>
        <xdr:to>
          <xdr:col>8</xdr:col>
          <xdr:colOff>0</xdr:colOff>
          <xdr:row>31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41</xdr:row>
          <xdr:rowOff>0</xdr:rowOff>
        </xdr:from>
        <xdr:to>
          <xdr:col>8</xdr:col>
          <xdr:colOff>0</xdr:colOff>
          <xdr:row>41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80010</xdr:colOff>
      <xdr:row>1</xdr:row>
      <xdr:rowOff>0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" y="99060"/>
          <a:ext cx="876616" cy="568575"/>
        </a:xfrm>
        <a:prstGeom prst="rect">
          <a:avLst/>
        </a:prstGeom>
      </xdr:spPr>
    </xdr:pic>
    <xdr:clientData/>
  </xdr:oneCellAnchor>
  <xdr:oneCellAnchor>
    <xdr:from>
      <xdr:col>10</xdr:col>
      <xdr:colOff>80010</xdr:colOff>
      <xdr:row>1</xdr:row>
      <xdr:rowOff>0</xdr:rowOff>
    </xdr:from>
    <xdr:ext cx="876616" cy="568575"/>
    <xdr:pic>
      <xdr:nvPicPr>
        <xdr:cNvPr id="18" name="Grafik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75260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control" Target="../activeX/activeX8.xml"/><Relationship Id="rId18" Type="http://schemas.openxmlformats.org/officeDocument/2006/relationships/control" Target="../activeX/activeX13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7.xml"/><Relationship Id="rId17" Type="http://schemas.openxmlformats.org/officeDocument/2006/relationships/control" Target="../activeX/activeX12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1.xml"/><Relationship Id="rId20" Type="http://schemas.openxmlformats.org/officeDocument/2006/relationships/control" Target="../activeX/activeX1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6.xml"/><Relationship Id="rId5" Type="http://schemas.openxmlformats.org/officeDocument/2006/relationships/image" Target="../media/image1.emf"/><Relationship Id="rId15" Type="http://schemas.openxmlformats.org/officeDocument/2006/relationships/control" Target="../activeX/activeX10.xml"/><Relationship Id="rId10" Type="http://schemas.openxmlformats.org/officeDocument/2006/relationships/control" Target="../activeX/activeX5.xml"/><Relationship Id="rId19" Type="http://schemas.openxmlformats.org/officeDocument/2006/relationships/control" Target="../activeX/activeX14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4.xml"/><Relationship Id="rId14" Type="http://schemas.openxmlformats.org/officeDocument/2006/relationships/control" Target="../activeX/activeX9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117"/>
  <sheetViews>
    <sheetView tabSelected="1" view="pageLayout" zoomScaleNormal="100" zoomScaleSheetLayoutView="100" workbookViewId="0">
      <selection activeCell="O13" sqref="O13"/>
    </sheetView>
  </sheetViews>
  <sheetFormatPr baseColWidth="10" defaultRowHeight="13.7" customHeight="1" x14ac:dyDescent="0.2"/>
  <cols>
    <col min="1" max="1" width="1.42578125" style="1" customWidth="1"/>
    <col min="2" max="2" width="2.5703125" style="1" customWidth="1"/>
    <col min="3" max="3" width="1.42578125" style="5" customWidth="1"/>
    <col min="4" max="4" width="42.85546875" style="1" customWidth="1"/>
    <col min="5" max="5" width="57.140625" style="1" customWidth="1"/>
    <col min="6" max="6" width="15.140625" style="5" bestFit="1" customWidth="1"/>
    <col min="7" max="7" width="2.85546875" style="91" customWidth="1"/>
    <col min="8" max="8" width="1.42578125" style="1" customWidth="1"/>
    <col min="9" max="9" width="1.5703125" style="1" customWidth="1"/>
    <col min="10" max="10" width="2.5703125" style="1" customWidth="1"/>
    <col min="11" max="11" width="1.5703125" style="1" customWidth="1"/>
    <col min="12" max="12" width="42.85546875" style="1" customWidth="1"/>
    <col min="13" max="13" width="57.140625" style="1" customWidth="1"/>
    <col min="14" max="14" width="15" style="1" customWidth="1"/>
    <col min="15" max="15" width="2.42578125" style="95" customWidth="1"/>
    <col min="16" max="16" width="1.5703125" style="1" customWidth="1"/>
    <col min="17" max="16384" width="11.42578125" style="1"/>
  </cols>
  <sheetData>
    <row r="1" spans="1:17" ht="13.5" customHeight="1" x14ac:dyDescent="0.2">
      <c r="K1" s="5"/>
      <c r="N1" s="5"/>
      <c r="O1" s="91"/>
    </row>
    <row r="2" spans="1:17" s="36" customFormat="1" ht="13.5" customHeight="1" x14ac:dyDescent="0.2">
      <c r="B2" s="37"/>
      <c r="C2" s="37"/>
      <c r="E2" s="11" t="s">
        <v>5</v>
      </c>
      <c r="F2" s="68" t="s">
        <v>189</v>
      </c>
      <c r="G2" s="92"/>
      <c r="J2" s="37"/>
      <c r="K2" s="37"/>
      <c r="M2" s="11" t="s">
        <v>5</v>
      </c>
      <c r="N2" s="101" t="s">
        <v>189</v>
      </c>
      <c r="O2" s="92"/>
    </row>
    <row r="3" spans="1:17" s="36" customFormat="1" ht="13.5" customHeight="1" x14ac:dyDescent="0.2">
      <c r="B3" s="37"/>
      <c r="C3" s="37"/>
      <c r="E3" s="38"/>
      <c r="F3" s="39"/>
      <c r="G3" s="92"/>
      <c r="J3" s="37"/>
      <c r="K3" s="37"/>
      <c r="M3" s="38"/>
      <c r="N3" s="39"/>
      <c r="O3" s="92"/>
    </row>
    <row r="4" spans="1:17" s="36" customFormat="1" ht="13.5" customHeight="1" x14ac:dyDescent="0.2">
      <c r="B4" s="37"/>
      <c r="C4" s="37"/>
      <c r="E4" s="38" t="str">
        <f>VLOOKUP("#0004",translation,code,FALSE)</f>
        <v>Letzte Aktualisierung:</v>
      </c>
      <c r="F4" s="40">
        <f>'Change Log'!$B$6</f>
        <v>45621</v>
      </c>
      <c r="G4" s="92"/>
      <c r="J4" s="37"/>
      <c r="K4" s="37"/>
      <c r="M4" s="38" t="str">
        <f>VLOOKUP("#0004",translation,code,FALSE)</f>
        <v>Letzte Aktualisierung:</v>
      </c>
      <c r="N4" s="40">
        <f>'Change Log'!$B$5</f>
        <v>44928</v>
      </c>
      <c r="O4" s="92"/>
    </row>
    <row r="5" spans="1:17" s="36" customFormat="1" ht="13.5" customHeight="1" x14ac:dyDescent="0.2">
      <c r="B5" s="37"/>
      <c r="C5" s="37"/>
      <c r="G5" s="92"/>
      <c r="J5" s="37"/>
      <c r="K5" s="37"/>
      <c r="O5" s="92"/>
    </row>
    <row r="6" spans="1:17" s="36" customFormat="1" ht="13.5" customHeight="1" x14ac:dyDescent="0.2">
      <c r="A6" s="14"/>
      <c r="B6" s="14"/>
      <c r="C6" s="14"/>
      <c r="D6" s="14"/>
      <c r="E6" s="14"/>
      <c r="F6" s="14"/>
      <c r="G6" s="93"/>
      <c r="I6" s="14"/>
      <c r="J6" s="14"/>
      <c r="K6" s="14"/>
      <c r="L6" s="14"/>
      <c r="M6" s="14"/>
      <c r="N6" s="14"/>
      <c r="O6" s="93"/>
    </row>
    <row r="7" spans="1:17" ht="13.5" customHeight="1" x14ac:dyDescent="0.2">
      <c r="A7" s="14"/>
      <c r="B7" s="14"/>
      <c r="C7" s="14"/>
      <c r="D7" s="23" t="str">
        <f>VLOOKUP("#0001",translation,code,FALSE)</f>
        <v>Antragsformular (Anlage 1)</v>
      </c>
      <c r="E7" s="24"/>
      <c r="F7" s="14"/>
      <c r="G7" s="93"/>
      <c r="I7" s="14"/>
      <c r="J7" s="14"/>
      <c r="K7" s="14"/>
      <c r="L7" s="23" t="str">
        <f>VLOOKUP("#0001",translation,code,FALSE)</f>
        <v>Antragsformular (Anlage 1)</v>
      </c>
      <c r="M7" s="24"/>
      <c r="N7" s="14"/>
      <c r="O7" s="93"/>
    </row>
    <row r="8" spans="1:17" ht="13.5" customHeight="1" x14ac:dyDescent="0.2">
      <c r="A8" s="14"/>
      <c r="B8" s="14"/>
      <c r="C8" s="14"/>
      <c r="D8" s="14"/>
      <c r="E8" s="14"/>
      <c r="F8" s="14"/>
      <c r="G8" s="93"/>
      <c r="H8" s="3"/>
      <c r="I8" s="14"/>
      <c r="J8" s="14"/>
      <c r="K8" s="14"/>
      <c r="L8" s="14"/>
      <c r="M8" s="14"/>
      <c r="N8" s="14"/>
      <c r="O8" s="93"/>
      <c r="P8" s="3"/>
    </row>
    <row r="9" spans="1:17" ht="13.5" customHeight="1" x14ac:dyDescent="0.2">
      <c r="A9" s="14"/>
      <c r="B9" s="14"/>
      <c r="C9" s="14"/>
      <c r="D9" s="24" t="str">
        <f>VLOOKUP("#0002",translation,code,FALSE)</f>
        <v>DE-UZ 225 - Ausgabe Juli 2022</v>
      </c>
      <c r="E9" s="14" t="str">
        <f>VLOOKUP("#0003",translation,code,FALSE)</f>
        <v>Schadstoffarme Fassadenfarben</v>
      </c>
      <c r="F9" s="14"/>
      <c r="G9" s="93"/>
      <c r="H9" s="3"/>
      <c r="I9" s="14"/>
      <c r="J9" s="14"/>
      <c r="K9" s="14"/>
      <c r="L9" s="24" t="str">
        <f>VLOOKUP("#0002",translation,code,FALSE)</f>
        <v>DE-UZ 225 - Ausgabe Juli 2022</v>
      </c>
      <c r="M9" s="14" t="str">
        <f>VLOOKUP("#0003",translation,code,FALSE)</f>
        <v>Schadstoffarme Fassadenfarben</v>
      </c>
      <c r="N9" s="14"/>
      <c r="O9" s="93"/>
      <c r="P9" s="3"/>
    </row>
    <row r="10" spans="1:17" ht="13.5" customHeight="1" x14ac:dyDescent="0.2">
      <c r="A10" s="14"/>
      <c r="B10" s="14"/>
      <c r="C10" s="14"/>
      <c r="D10" s="14"/>
      <c r="E10" s="14"/>
      <c r="F10" s="14"/>
      <c r="G10" s="93"/>
      <c r="H10" s="3"/>
      <c r="I10" s="14"/>
      <c r="J10" s="14"/>
      <c r="K10" s="14"/>
      <c r="L10" s="14"/>
      <c r="M10" s="14"/>
      <c r="N10" s="14"/>
      <c r="O10" s="93"/>
      <c r="P10" s="3"/>
    </row>
    <row r="11" spans="1:17" s="36" customFormat="1" ht="13.5" customHeight="1" x14ac:dyDescent="0.2">
      <c r="B11" s="37"/>
      <c r="C11" s="37"/>
      <c r="F11" s="42" t="str">
        <f>VLOOKUP("#0129",translation,code,FALSE)</f>
        <v>Seite 1/2</v>
      </c>
      <c r="G11" s="92"/>
      <c r="N11" s="42" t="str">
        <f>VLOOKUP("#0130",translation,code,FALSE)</f>
        <v>Seite 2/2</v>
      </c>
      <c r="O11" s="92"/>
    </row>
    <row r="12" spans="1:17" s="36" customFormat="1" ht="15" customHeight="1" x14ac:dyDescent="0.2">
      <c r="B12" s="37"/>
      <c r="C12" s="37"/>
      <c r="D12" s="41" t="str">
        <f>VLOOKUP("#0006",translation,code,FALSE)</f>
        <v>Angaben zum Unternehmen</v>
      </c>
      <c r="E12" s="42"/>
      <c r="F12" s="37"/>
      <c r="G12" s="92"/>
      <c r="I12" s="1"/>
      <c r="O12" s="92"/>
      <c r="P12" s="5"/>
      <c r="Q12" s="1"/>
    </row>
    <row r="13" spans="1:17" ht="13.5" customHeight="1" x14ac:dyDescent="0.2">
      <c r="G13" s="90"/>
      <c r="J13" s="5"/>
      <c r="K13" s="5"/>
      <c r="L13" s="80" t="str">
        <f>VLOOKUP("#0064",translation,code,FALSE)</f>
        <v>Hinweise, die auf dem Gebindetext und dem technischen Merkblatt vorhanden sein müssen:</v>
      </c>
      <c r="M13" s="5"/>
      <c r="N13" s="5"/>
      <c r="O13" s="35"/>
      <c r="P13" s="5"/>
    </row>
    <row r="14" spans="1:17" ht="13.5" customHeight="1" x14ac:dyDescent="0.2">
      <c r="D14" s="6"/>
      <c r="E14" s="7"/>
      <c r="J14" s="34"/>
      <c r="K14" s="5"/>
      <c r="L14" s="8" t="str">
        <f>VLOOKUP("#0065",translation,code,FALSE)</f>
        <v>„Für Kinder unzugänglich aufzubewahren.“</v>
      </c>
      <c r="M14" s="5"/>
      <c r="N14" s="82"/>
      <c r="O14" s="35"/>
      <c r="P14" s="5"/>
    </row>
    <row r="15" spans="1:17" ht="13.5" customHeight="1" x14ac:dyDescent="0.2">
      <c r="D15" s="63" t="str">
        <f>VLOOKUP("#0007",translation,code,FALSE)</f>
        <v>Name des Unternehmens:</v>
      </c>
      <c r="E15" s="29"/>
      <c r="G15" s="94"/>
      <c r="H15" s="4"/>
      <c r="J15" s="34"/>
      <c r="K15" s="5"/>
      <c r="L15" s="8" t="str">
        <f>VLOOKUP("#0066",translation,code,FALSE)</f>
        <v>„Wird eine Fassadenfarbe mit einer Pigment- oder Abtönpaste, die nicht konform zu den Anforderungen des</v>
      </c>
      <c r="M15" s="5"/>
      <c r="N15" s="5"/>
    </row>
    <row r="16" spans="1:17" ht="13.5" customHeight="1" x14ac:dyDescent="0.2">
      <c r="D16" s="63" t="str">
        <f>VLOOKUP("#0008",translation,code,FALSE)</f>
        <v>Vollständige Anschrift:</v>
      </c>
      <c r="E16" s="30"/>
      <c r="H16" s="5"/>
      <c r="K16" s="5"/>
      <c r="L16" s="8" t="str">
        <f>VLOOKUP("#0067",translation,code,FALSE)</f>
        <v>Blauen Engels ist, abgetönt, entspricht die abgetönte Farbe nicht mehr den Kriterien des Blauen Engels.“</v>
      </c>
      <c r="N16" s="5"/>
      <c r="O16" s="35"/>
      <c r="P16" s="5"/>
    </row>
    <row r="17" spans="4:16" ht="13.5" customHeight="1" x14ac:dyDescent="0.2">
      <c r="D17" s="64"/>
      <c r="E17" s="31"/>
      <c r="H17" s="5"/>
      <c r="J17" s="34"/>
      <c r="K17" s="83"/>
      <c r="L17" s="8" t="str">
        <f>VLOOKUP("#0068",translation,code,FALSE)</f>
        <v>Eine Applikation durch Spritzen ist möglich.</v>
      </c>
      <c r="M17" s="5"/>
      <c r="N17" s="5"/>
    </row>
    <row r="18" spans="4:16" ht="13.5" customHeight="1" x14ac:dyDescent="0.2">
      <c r="D18" s="64"/>
      <c r="E18" s="32"/>
      <c r="H18" s="5"/>
      <c r="J18" s="102"/>
      <c r="K18" s="5"/>
      <c r="L18" s="8" t="str">
        <f>VLOOKUP("#0069",translation,code,FALSE)</f>
        <v>„Bei Spritznebel Kombifilter A2/P2 und Schutzbrille verwenden.“</v>
      </c>
      <c r="N18" s="5"/>
      <c r="O18" s="88"/>
      <c r="P18" s="5"/>
    </row>
    <row r="19" spans="4:16" ht="13.7" customHeight="1" x14ac:dyDescent="0.2">
      <c r="J19" s="34"/>
      <c r="K19" s="5"/>
      <c r="L19" s="8" t="str">
        <f>VLOOKUP("#0070",translation,code,FALSE)</f>
        <v>„Essen, Trinken und Rauchen während des Gebrauchs der Fassadenfarbe ist zu vermeiden.“</v>
      </c>
      <c r="M19" s="5"/>
      <c r="N19" s="5"/>
      <c r="O19" s="35"/>
      <c r="P19" s="5"/>
    </row>
    <row r="20" spans="4:16" ht="13.7" customHeight="1" x14ac:dyDescent="0.2">
      <c r="D20" s="22" t="str">
        <f>VLOOKUP("#0009",translation,code,FALSE)</f>
        <v>Kontaktperson</v>
      </c>
      <c r="J20" s="34"/>
      <c r="K20" s="5"/>
      <c r="L20" s="8" t="str">
        <f>VLOOKUP("#0071",translation,code,FALSE)</f>
        <v>„Bei Berührung mit den Augen oder der Haut sofort gründlich mit Wasser spülen.“</v>
      </c>
      <c r="M20" s="5"/>
      <c r="N20" s="5"/>
      <c r="O20" s="35"/>
      <c r="P20" s="5"/>
    </row>
    <row r="21" spans="4:16" ht="13.7" customHeight="1" x14ac:dyDescent="0.2">
      <c r="J21" s="34"/>
      <c r="K21" s="5"/>
      <c r="L21" s="8" t="str">
        <f>VLOOKUP("#0072",translation,code,FALSE)</f>
        <v>„Nicht in die Kanalisation, Gewässer oder Erdreich gelangen lassen.“</v>
      </c>
      <c r="M21" s="5"/>
      <c r="N21" s="5"/>
      <c r="O21" s="35"/>
      <c r="P21" s="5"/>
    </row>
    <row r="22" spans="4:16" ht="13.7" customHeight="1" x14ac:dyDescent="0.2">
      <c r="D22" s="9" t="str">
        <f>VLOOKUP("#0010",translation,code,FALSE)</f>
        <v>Name:</v>
      </c>
      <c r="E22" s="33"/>
      <c r="J22" s="34"/>
      <c r="K22" s="5"/>
      <c r="L22" s="8" t="str">
        <f>VLOOKUP("#0073",translation,code,FALSE)</f>
        <v>Ein Hinweis zur Reinigung der Werkzeuge ist auf dem Gebinde oder dem Technischen Merkblatt vorhanden.</v>
      </c>
      <c r="M22" s="5"/>
      <c r="N22" s="5"/>
      <c r="O22" s="35"/>
      <c r="P22" s="5"/>
    </row>
    <row r="23" spans="4:16" ht="13.7" customHeight="1" x14ac:dyDescent="0.2">
      <c r="D23" s="9" t="str">
        <f>VLOOKUP("#0011",translation,code,FALSE)</f>
        <v>Funktion:</v>
      </c>
      <c r="E23" s="33"/>
      <c r="J23" s="34"/>
      <c r="K23" s="5"/>
      <c r="L23" s="8" t="str">
        <f>VLOOKUP("#0074",translation,code,FALSE)</f>
        <v>„Nur restentleerte Gebinde zum Recycling geben.“</v>
      </c>
      <c r="M23" s="5"/>
      <c r="N23" s="5"/>
      <c r="O23" s="35"/>
    </row>
    <row r="24" spans="4:16" ht="13.7" customHeight="1" x14ac:dyDescent="0.2">
      <c r="D24" s="9" t="str">
        <f>VLOOKUP("#0012",translation,code,FALSE)</f>
        <v>Telefonnummer:</v>
      </c>
      <c r="E24" s="33"/>
      <c r="J24" s="34"/>
      <c r="K24" s="5"/>
      <c r="L24" s="8" t="str">
        <f>VLOOKUP("#0075",translation,code,FALSE)</f>
        <v>„Materialreste können eingetrocknet als Hausmüll entsorgt werden.“</v>
      </c>
      <c r="N24" s="5"/>
      <c r="O24" s="35"/>
      <c r="P24" s="5"/>
    </row>
    <row r="25" spans="4:16" ht="13.7" customHeight="1" x14ac:dyDescent="0.2">
      <c r="D25" s="9" t="str">
        <f>VLOOKUP("#0013",translation,code,FALSE)</f>
        <v>E-Mail-Adresse:</v>
      </c>
      <c r="E25" s="33"/>
      <c r="J25" s="34"/>
      <c r="K25" s="83"/>
      <c r="L25" s="8" t="str">
        <f>VLOOKUP("#0076",translation,code,FALSE)</f>
        <v>„Produkt enthält ……“ (Nennung der/des Namens des/der Konservierungsmittelwirkstoffe gemäß der Liste der</v>
      </c>
      <c r="M25" s="5"/>
      <c r="N25" s="5"/>
      <c r="O25" s="91"/>
    </row>
    <row r="26" spans="4:16" ht="13.7" customHeight="1" x14ac:dyDescent="0.2">
      <c r="K26" s="5"/>
      <c r="L26" s="8" t="str">
        <f>VLOOKUP("#0077",translation,code,FALSE)</f>
        <v>zulässigen Topfkonservierungen)</v>
      </c>
      <c r="N26" s="82"/>
      <c r="O26" s="35"/>
      <c r="P26" s="5"/>
    </row>
    <row r="27" spans="4:16" ht="13.7" customHeight="1" x14ac:dyDescent="0.2">
      <c r="D27" s="22" t="str">
        <f>VLOOKUP("#0014",translation,code,FALSE)</f>
        <v>Angaben zum Produkt</v>
      </c>
      <c r="J27" s="34"/>
      <c r="K27" s="5"/>
      <c r="L27" s="8" t="str">
        <f>VLOOKUP("#0078",translation,code,FALSE)</f>
        <v>„Information für Allergiker unter Telefon-Nr.: ……“</v>
      </c>
      <c r="M27" s="5"/>
      <c r="N27" s="5"/>
      <c r="O27" s="35"/>
      <c r="P27" s="5"/>
    </row>
    <row r="28" spans="4:16" ht="13.7" customHeight="1" x14ac:dyDescent="0.2">
      <c r="J28" s="34"/>
      <c r="K28" s="5"/>
      <c r="L28" s="8" t="str">
        <f>VLOOKUP("#0079",translation,code,FALSE)</f>
        <v>Verbrauchsdaten</v>
      </c>
      <c r="M28" s="5"/>
      <c r="N28" s="5"/>
      <c r="O28" s="35"/>
      <c r="P28" s="5"/>
    </row>
    <row r="29" spans="4:16" ht="13.7" customHeight="1" x14ac:dyDescent="0.2">
      <c r="D29" s="63" t="str">
        <f>VLOOKUP("#0015",translation,code,FALSE)</f>
        <v>Handelsname der Produkts:</v>
      </c>
      <c r="E29" s="43"/>
      <c r="H29" s="5"/>
      <c r="J29" s="34"/>
      <c r="K29" s="5"/>
      <c r="L29" s="8" t="str">
        <f>VLOOKUP("#0080",translation,code,FALSE)</f>
        <v>Lagerfähigkeit</v>
      </c>
      <c r="M29" s="5"/>
      <c r="N29" s="5"/>
      <c r="O29" s="35"/>
      <c r="P29" s="5"/>
    </row>
    <row r="30" spans="4:16" ht="13.7" customHeight="1" x14ac:dyDescent="0.2">
      <c r="H30" s="5"/>
      <c r="J30" s="34"/>
      <c r="K30" s="5"/>
      <c r="L30" s="8" t="str">
        <f>VLOOKUP("#0081",translation,code,FALSE)</f>
        <v>Lagerbedingungen</v>
      </c>
      <c r="M30" s="5"/>
      <c r="N30" s="5"/>
      <c r="O30" s="35"/>
    </row>
    <row r="31" spans="4:16" ht="13.7" customHeight="1" x14ac:dyDescent="0.2">
      <c r="D31" s="62" t="str">
        <f>VLOOKUP("#0016",translation,code,FALSE)</f>
        <v>Markieren Sie welcher Kategorie die Fassadenfarbe zuzuordnen ist:</v>
      </c>
      <c r="E31" s="5"/>
      <c r="F31" s="71" t="str">
        <f>VLOOKUP("#0019",translation,code,FALSE)</f>
        <v>(großes "X" eintragen)</v>
      </c>
      <c r="G31" s="35"/>
      <c r="H31" s="10"/>
      <c r="J31" s="34"/>
      <c r="K31" s="5"/>
      <c r="L31" s="8" t="str">
        <f>VLOOKUP("#0082",translation,code,FALSE)</f>
        <v>Technische Merkblätter: Inhaltsstoffe der Fassadenfarbe</v>
      </c>
      <c r="O31" s="35"/>
      <c r="P31" s="3"/>
    </row>
    <row r="32" spans="4:16" ht="15" customHeight="1" x14ac:dyDescent="0.2">
      <c r="D32" s="8"/>
      <c r="E32" s="26" t="str">
        <f>IF(COUNTA(B33:B39)&gt;1,VLOOKUP("#0018",translation,code,FALSE),IF(COUNTA(B42:B45)&gt;1,VLOOKUP("#0018",translation,code,FALSE),IF(COUNTA(B48:B50)&gt;1,VLOOKUP("#0018",translation,code,FALSE),"")))</f>
        <v/>
      </c>
      <c r="H32" s="5"/>
      <c r="J32" s="34"/>
      <c r="K32" s="5"/>
      <c r="L32" s="8" t="str">
        <f>VLOOKUP("#0083",translation,code,FALSE)</f>
        <v>Technische Merkblätter: Applikationsmöglichkeiten</v>
      </c>
      <c r="M32" s="3"/>
      <c r="N32" s="3"/>
      <c r="O32" s="35"/>
      <c r="P32" s="5"/>
    </row>
    <row r="33" spans="2:16" ht="13.7" customHeight="1" x14ac:dyDescent="0.2">
      <c r="B33" s="44"/>
      <c r="C33" s="15"/>
      <c r="D33" s="12" t="str">
        <f>VLOOKUP("#0020",translation,code,FALSE)</f>
        <v>Dispersionsfarbe</v>
      </c>
      <c r="F33" s="4"/>
      <c r="H33" s="5"/>
      <c r="J33" s="34"/>
      <c r="K33" s="5"/>
      <c r="L33" s="8" t="str">
        <f>VLOOKUP("#0084",translation,code,FALSE)</f>
        <v>Technische Merkblätter: Bindemittelbasis</v>
      </c>
      <c r="M33" s="5"/>
      <c r="N33" s="5"/>
      <c r="O33" s="35"/>
      <c r="P33" s="25"/>
    </row>
    <row r="34" spans="2:16" ht="13.7" customHeight="1" x14ac:dyDescent="0.2">
      <c r="B34" s="34"/>
      <c r="C34" s="16"/>
      <c r="D34" s="8" t="str">
        <f>VLOOKUP("#0021",translation,code,FALSE)</f>
        <v>Grundierung für Fassadenfarben nach DIN EN 1062-1</v>
      </c>
      <c r="H34" s="65"/>
      <c r="J34" s="34"/>
      <c r="K34" s="5"/>
      <c r="L34" s="8" t="str">
        <f>VLOOKUP("#0085",translation,code,FALSE)</f>
        <v>Gebindetexte: Hinweis auf das technische Merkblatt inklusive Bezugsquelle desselben</v>
      </c>
      <c r="M34" s="25"/>
      <c r="N34" s="25"/>
      <c r="O34" s="35"/>
      <c r="P34" s="5"/>
    </row>
    <row r="35" spans="2:16" ht="13.7" customHeight="1" x14ac:dyDescent="0.2">
      <c r="B35" s="34"/>
      <c r="C35" s="16"/>
      <c r="D35" s="8" t="str">
        <f>VLOOKUP("#0022",translation,code,FALSE)</f>
        <v>Dispersions-Silikat-Fassadenfarbe</v>
      </c>
      <c r="F35" s="65"/>
      <c r="G35" s="90"/>
      <c r="H35" s="65"/>
      <c r="J35" s="34"/>
      <c r="K35" s="5"/>
      <c r="L35" s="8" t="str">
        <f>VLOOKUP("#0086",translation,code,FALSE)</f>
        <v>Gebindetexte: Art der Fassadenfarbe im Zusammenhang mit der Produktbezeichnung</v>
      </c>
      <c r="M35" s="5"/>
      <c r="N35" s="5"/>
      <c r="O35" s="35"/>
      <c r="P35" s="25"/>
    </row>
    <row r="36" spans="2:16" ht="13.7" customHeight="1" x14ac:dyDescent="0.2">
      <c r="B36" s="34"/>
      <c r="C36" s="16"/>
      <c r="D36" s="8" t="str">
        <f>VLOOKUP("#0023",translation,code,FALSE)</f>
        <v>Silikonharzfarbe</v>
      </c>
      <c r="H36" s="65"/>
      <c r="J36" s="34"/>
      <c r="K36" s="5"/>
      <c r="L36" s="8" t="str">
        <f>VLOOKUP("#0087",translation,code,FALSE)</f>
        <v>Das technische Merkblatt ist auf folgender Internetseite abrufbar:</v>
      </c>
      <c r="M36" s="25"/>
      <c r="N36" s="25"/>
    </row>
    <row r="37" spans="2:16" ht="13.7" customHeight="1" x14ac:dyDescent="0.2">
      <c r="B37" s="34"/>
      <c r="C37" s="16"/>
      <c r="D37" s="8" t="str">
        <f>VLOOKUP("#0024",translation,code,FALSE)</f>
        <v>Silikatfarbe</v>
      </c>
      <c r="H37" s="5"/>
      <c r="K37" s="5"/>
      <c r="L37" s="99"/>
      <c r="M37" s="103"/>
      <c r="N37" s="84"/>
      <c r="O37" s="96"/>
    </row>
    <row r="38" spans="2:16" ht="15" customHeight="1" x14ac:dyDescent="0.2">
      <c r="B38" s="34"/>
      <c r="C38" s="16"/>
      <c r="D38" s="8" t="str">
        <f>VLOOKUP("#0025",translation,code,FALSE)</f>
        <v>Silikatfarbe in Pulverform</v>
      </c>
      <c r="H38" s="5"/>
      <c r="J38" s="34"/>
      <c r="K38" s="83"/>
      <c r="L38" s="8" t="str">
        <f>VLOOKUP("#0088",translation,code,FALSE)</f>
        <v>Es werden sonstige technische Eigenschaften, die nicht mit genormten Methoden nachgewiesen sind, ausgelobt.</v>
      </c>
      <c r="M38" s="79"/>
    </row>
    <row r="39" spans="2:16" ht="13.7" customHeight="1" x14ac:dyDescent="0.2">
      <c r="B39" s="34"/>
      <c r="C39" s="16"/>
      <c r="D39" s="7" t="str">
        <f>VLOOKUP("#0026",translation,code,FALSE)</f>
        <v>Kalkfarbe</v>
      </c>
      <c r="F39" s="1"/>
      <c r="H39" s="5"/>
      <c r="J39" s="102"/>
      <c r="K39" s="87"/>
      <c r="L39" s="8" t="str">
        <f>VLOOKUP("#0089",translation,code,FALSE)</f>
        <v>„Die Auslobung …… wurde nicht im Rahmen des Blauen Engels überprüft.“</v>
      </c>
      <c r="N39" s="5"/>
      <c r="O39" s="104"/>
      <c r="P39" s="5"/>
    </row>
    <row r="40" spans="2:16" ht="15" customHeight="1" x14ac:dyDescent="0.2">
      <c r="D40" s="8"/>
      <c r="E40" s="5"/>
      <c r="H40" s="5"/>
      <c r="K40" s="5"/>
      <c r="L40" s="8"/>
      <c r="M40" s="5"/>
      <c r="N40" s="5"/>
      <c r="O40" s="91"/>
    </row>
    <row r="41" spans="2:16" ht="13.7" customHeight="1" x14ac:dyDescent="0.2">
      <c r="C41" s="16"/>
      <c r="D41" s="81" t="str">
        <f>VLOOKUP("#0027",translation,code,FALSE)</f>
        <v>Die Fassadenfarbe hat nach DIN EN 1062-1 einen Wasserdurchlässigkeitswert von</v>
      </c>
      <c r="H41" s="5"/>
      <c r="K41" s="5"/>
      <c r="L41" s="80" t="str">
        <f>VLOOKUP("#0090",translation,code,FALSE)</f>
        <v>Zusätzliche Hinweise für gekennzeichnete Fassadenfarben (GHS05 und/oder GHS07)</v>
      </c>
      <c r="O41" s="35"/>
    </row>
    <row r="42" spans="2:16" ht="13.5" customHeight="1" x14ac:dyDescent="0.2">
      <c r="B42" s="34"/>
      <c r="C42" s="16"/>
      <c r="D42" s="7" t="s">
        <v>48</v>
      </c>
      <c r="H42" s="5"/>
      <c r="J42" s="34"/>
      <c r="K42" s="5"/>
      <c r="L42" s="8" t="str">
        <f>VLOOKUP("#0091",translation,code,FALSE)</f>
        <v>„Tragen Sie eine Schutzbrille und Staubfilter P2!“</v>
      </c>
      <c r="O42" s="35"/>
    </row>
    <row r="43" spans="2:16" ht="13.7" customHeight="1" x14ac:dyDescent="0.2">
      <c r="B43" s="34"/>
      <c r="C43" s="16"/>
      <c r="D43" s="7" t="s">
        <v>49</v>
      </c>
      <c r="H43" s="5"/>
      <c r="J43" s="34"/>
      <c r="K43" s="5"/>
      <c r="L43" s="8" t="str">
        <f>VLOOKUP("#0092",translation,code,FALSE)</f>
        <v>„Sollte die Fassadenfarbe mit Ihren Augen in Berührung kommen, sofort mit viel Wasser auswaschen und einen</v>
      </c>
      <c r="O43" s="91"/>
    </row>
    <row r="44" spans="2:16" ht="13.7" customHeight="1" x14ac:dyDescent="0.2">
      <c r="B44" s="34"/>
      <c r="D44" s="1" t="s">
        <v>50</v>
      </c>
      <c r="H44" s="5"/>
      <c r="K44" s="5"/>
      <c r="L44" s="8" t="str">
        <f>VLOOKUP("#0093",translation,code,FALSE)</f>
        <v>Augenarzt aufsuchen.“</v>
      </c>
      <c r="N44" s="5"/>
      <c r="O44" s="35"/>
    </row>
    <row r="45" spans="2:16" ht="13.7" customHeight="1" x14ac:dyDescent="0.2">
      <c r="B45" s="34"/>
      <c r="D45" s="1" t="s">
        <v>51</v>
      </c>
      <c r="H45" s="65"/>
      <c r="J45" s="34"/>
      <c r="K45" s="5"/>
      <c r="L45" s="8" t="str">
        <f>VLOOKUP("#0094",translation,code,FALSE)</f>
        <v>„Schützen Sie Ihre Hände mit wasserdichten, robusten Handschuhen!“</v>
      </c>
      <c r="O45" s="35"/>
      <c r="P45" s="5"/>
    </row>
    <row r="46" spans="2:16" ht="15" customHeight="1" x14ac:dyDescent="0.2">
      <c r="D46" s="8"/>
      <c r="E46" s="5"/>
      <c r="H46" s="5"/>
      <c r="J46" s="34"/>
      <c r="K46" s="5"/>
      <c r="L46" s="8" t="str">
        <f>VLOOKUP("#0095",translation,code,FALSE)</f>
        <v>„Tragen Sie geschlossene Arbeitskleidung!“</v>
      </c>
      <c r="M46" s="2"/>
      <c r="N46" s="65"/>
      <c r="O46" s="35"/>
    </row>
    <row r="47" spans="2:16" ht="13.7" customHeight="1" x14ac:dyDescent="0.2">
      <c r="C47" s="16"/>
      <c r="D47" s="81" t="str">
        <f>VLOOKUP("#0028",translation,code,FALSE)</f>
        <v>Die Fassadenfarbe hat nach DIN EN 1062-1 eine Wasserdampfdiffusionsströmungsdichte von</v>
      </c>
      <c r="H47" s="5"/>
      <c r="J47" s="34"/>
      <c r="K47" s="5"/>
      <c r="L47" s="8" t="str">
        <f>VLOOKUP("#0096",translation,code,FALSE)</f>
        <v>„Vermeiden Sie längeren Hautkontakt mit der Fassadenfarbe.</v>
      </c>
      <c r="N47" s="5"/>
    </row>
    <row r="48" spans="2:16" ht="13.7" customHeight="1" x14ac:dyDescent="0.2">
      <c r="B48" s="34"/>
      <c r="C48" s="16"/>
      <c r="D48" s="7" t="s">
        <v>52</v>
      </c>
      <c r="H48" s="5"/>
      <c r="K48" s="5"/>
      <c r="L48" s="8" t="str">
        <f>VLOOKUP("#0097",translation,code,FALSE)</f>
        <v>Betroffene Hautteile sind sofort gründlich mit Wasser zu säubern.“</v>
      </c>
      <c r="N48" s="5"/>
      <c r="O48" s="35"/>
    </row>
    <row r="49" spans="2:16" ht="13.7" customHeight="1" x14ac:dyDescent="0.2">
      <c r="B49" s="34"/>
      <c r="C49" s="17"/>
      <c r="D49" s="7" t="s">
        <v>53</v>
      </c>
      <c r="J49" s="34"/>
      <c r="K49" s="5"/>
      <c r="L49" s="8" t="str">
        <f>VLOOKUP("#0098",translation,code,FALSE)</f>
        <v>„Je länger frische Fassadenfarbe auf Ihrer Haut verbleibt, umso größer ist die Gefahr von ernsten Hautschäden.“</v>
      </c>
      <c r="N49" s="5"/>
      <c r="O49" s="35"/>
    </row>
    <row r="50" spans="2:16" ht="13.7" customHeight="1" x14ac:dyDescent="0.2">
      <c r="B50" s="34"/>
      <c r="C50" s="16"/>
      <c r="D50" s="7" t="s">
        <v>54</v>
      </c>
      <c r="E50" s="7"/>
      <c r="H50" s="5"/>
      <c r="J50" s="34"/>
      <c r="K50" s="5"/>
      <c r="L50" s="8" t="str">
        <f>VLOOKUP("#0099",translation,code,FALSE)</f>
        <v>„Kinder von frischer Fassadenfarbe fernhalten!“</v>
      </c>
      <c r="N50" s="5"/>
      <c r="O50" s="35"/>
    </row>
    <row r="51" spans="2:16" ht="15" customHeight="1" x14ac:dyDescent="0.2">
      <c r="D51" s="8"/>
      <c r="E51" s="5"/>
      <c r="H51" s="5"/>
      <c r="J51" s="34"/>
      <c r="K51" s="5"/>
      <c r="L51" s="8" t="str">
        <f>VLOOKUP("#0100",translation,code,FALSE)</f>
        <v>„Den Arbeitsschutzhinweisen des Herstellers während der Verarbeitungsphase ist unbedingt Folge zu leisten.“</v>
      </c>
      <c r="N51" s="5"/>
      <c r="O51" s="35"/>
    </row>
    <row r="52" spans="2:16" ht="15" customHeight="1" x14ac:dyDescent="0.2">
      <c r="B52" s="34"/>
      <c r="D52" s="80" t="str">
        <f>VLOOKUP("#0121",translation,code,FALSE)</f>
        <v>Es werden sonstige technische Eigenschaften ausgelobt.</v>
      </c>
      <c r="E52" s="5"/>
      <c r="H52" s="5"/>
      <c r="K52" s="5"/>
      <c r="N52" s="5"/>
      <c r="O52" s="91"/>
      <c r="P52" s="5"/>
    </row>
    <row r="53" spans="2:16" ht="15" customHeight="1" x14ac:dyDescent="0.2">
      <c r="D53" s="8" t="str">
        <f>VLOOKUP("#0117",translation,code,FALSE)</f>
        <v>Eigenschaften mit Nachweis durch genormten Methoden:</v>
      </c>
      <c r="E53" s="8"/>
      <c r="H53" s="5"/>
      <c r="K53" s="5"/>
      <c r="L53" s="17" t="str">
        <f>VLOOKUP("#0101",translation,code,FALSE)</f>
        <v>Einzureichende Dokumente</v>
      </c>
      <c r="M53" s="5"/>
      <c r="N53" s="5"/>
      <c r="O53" s="35"/>
      <c r="P53" s="5"/>
    </row>
    <row r="54" spans="2:16" ht="15" customHeight="1" x14ac:dyDescent="0.2">
      <c r="D54" s="106"/>
      <c r="E54" s="107"/>
      <c r="H54" s="5"/>
      <c r="J54" s="34"/>
      <c r="K54" s="5"/>
      <c r="L54" s="8" t="str">
        <f>VLOOKUP("#0001",translation,code,FALSE)</f>
        <v>Antragsformular (Anlage 1)</v>
      </c>
      <c r="M54" s="5"/>
      <c r="N54" s="5"/>
      <c r="O54" s="35"/>
      <c r="P54" s="5"/>
    </row>
    <row r="55" spans="2:16" ht="15" customHeight="1" x14ac:dyDescent="0.2">
      <c r="D55" s="8" t="str">
        <f>VLOOKUP("#0118",translation,code,FALSE)</f>
        <v>Eigenschaften ohne Nachweis durch genormte Methoden:</v>
      </c>
      <c r="E55" s="8"/>
      <c r="H55" s="5"/>
      <c r="J55" s="34"/>
      <c r="K55" s="5"/>
      <c r="L55" s="8" t="str">
        <f>VLOOKUP("#0102",translation,code,FALSE)</f>
        <v>Chemikalienerklärungen für alle verwendeten Rohstoffe (Anlage R).</v>
      </c>
      <c r="M55" s="5"/>
      <c r="N55" s="5"/>
      <c r="O55" s="35"/>
      <c r="P55" s="5"/>
    </row>
    <row r="56" spans="2:16" ht="15" customHeight="1" x14ac:dyDescent="0.2">
      <c r="D56" s="106"/>
      <c r="E56" s="107"/>
      <c r="H56" s="5"/>
      <c r="J56" s="34"/>
      <c r="K56" s="5"/>
      <c r="L56" s="8" t="str">
        <f>VLOOKUP("#0103",translation,code,FALSE)</f>
        <v>Sicherheitsdatenblätter für alle verwendeten Rohstoffe.</v>
      </c>
      <c r="M56" s="5"/>
      <c r="N56" s="5"/>
      <c r="O56" s="35"/>
      <c r="P56" s="5"/>
    </row>
    <row r="57" spans="2:16" ht="15" customHeight="1" x14ac:dyDescent="0.2">
      <c r="D57" s="8"/>
      <c r="E57" s="5"/>
      <c r="H57" s="5"/>
      <c r="J57" s="34"/>
      <c r="K57" s="5"/>
      <c r="L57" s="8" t="str">
        <f>VLOOKUP("#0104",translation,code,FALSE)</f>
        <v>Sicherheitsdatenblätter für alle angemeldeten Fassadenfarben.</v>
      </c>
      <c r="M57" s="5"/>
      <c r="N57" s="5"/>
      <c r="O57" s="35"/>
      <c r="P57" s="5"/>
    </row>
    <row r="58" spans="2:16" ht="15" customHeight="1" x14ac:dyDescent="0.2">
      <c r="B58" s="34"/>
      <c r="D58" s="85" t="str">
        <f>VLOOKUP("#0060",translation,code,FALSE)</f>
        <v>Hiermit erklären wir die Einhaltung aller Anforderung gemäß Abschnitt 3 der Vergabekriterien.</v>
      </c>
      <c r="E58" s="5"/>
      <c r="G58" s="35"/>
      <c r="H58" s="5"/>
      <c r="J58" s="34"/>
      <c r="K58" s="5"/>
      <c r="L58" s="8" t="str">
        <f>VLOOKUP("#0105",translation,code,FALSE)</f>
        <v>Prüfbericht nach DIN EN ISO 17895.</v>
      </c>
      <c r="M58" s="5"/>
      <c r="N58" s="5"/>
      <c r="O58" s="35"/>
      <c r="P58" s="5"/>
    </row>
    <row r="59" spans="2:16" ht="15" customHeight="1" x14ac:dyDescent="0.2">
      <c r="D59" s="8"/>
      <c r="E59" s="5"/>
      <c r="H59" s="5"/>
      <c r="K59" s="5"/>
      <c r="L59" s="78" t="str">
        <f>VLOOKUP("#0110",translation,code,FALSE)</f>
        <v>oder</v>
      </c>
      <c r="M59" s="5"/>
      <c r="N59" s="5"/>
      <c r="O59" s="91"/>
      <c r="P59" s="5"/>
    </row>
    <row r="60" spans="2:16" ht="13.7" customHeight="1" x14ac:dyDescent="0.2">
      <c r="B60" s="5"/>
      <c r="D60" s="17" t="str">
        <f>VLOOKUP("#0061",translation,code,FALSE)</f>
        <v>Weitere Erklärungen</v>
      </c>
      <c r="E60" s="5"/>
      <c r="G60" s="35"/>
      <c r="H60" s="5"/>
      <c r="J60" s="34"/>
      <c r="K60" s="5"/>
      <c r="L60" s="8" t="str">
        <f>VLOOKUP("#0106",translation,code,FALSE)</f>
        <v>Prüfbericht nach DIN ISO 11890-2.</v>
      </c>
      <c r="M60" s="5"/>
      <c r="N60" s="5"/>
      <c r="O60" s="35"/>
      <c r="P60" s="5"/>
    </row>
    <row r="61" spans="2:16" ht="15" customHeight="1" x14ac:dyDescent="0.2">
      <c r="B61" s="34"/>
      <c r="D61" s="8" t="str">
        <f>VLOOKUP("#0017",translation,code,FALSE)</f>
        <v>Der pH-Wert der Fassadenfarbe beträgt:</v>
      </c>
      <c r="E61" s="69"/>
      <c r="F61" s="8"/>
      <c r="G61" s="35"/>
      <c r="H61" s="5"/>
      <c r="J61" s="34"/>
      <c r="K61" s="5"/>
      <c r="L61" s="8" t="str">
        <f>VLOOKUP("#0107",translation,code,FALSE)</f>
        <v>Eine gültige EPD (Umwelt-Produktdeklaration) nach DIN EN 15804.</v>
      </c>
      <c r="M61" s="5"/>
      <c r="N61" s="5"/>
      <c r="O61" s="35"/>
      <c r="P61" s="5"/>
    </row>
    <row r="62" spans="2:16" ht="13.7" customHeight="1" x14ac:dyDescent="0.2">
      <c r="B62" s="34"/>
      <c r="D62" s="8" t="str">
        <f>VLOOKUP("#0062",translation,code,FALSE)</f>
        <v>Der VOC-Gehalt beträgt:</v>
      </c>
      <c r="E62" s="69"/>
      <c r="F62" s="8" t="str">
        <f>VLOOKUP("#0063",translation,code,FALSE)</f>
        <v>Gew.-%</v>
      </c>
      <c r="G62" s="35"/>
      <c r="H62" s="5"/>
      <c r="J62" s="34"/>
      <c r="K62" s="5"/>
      <c r="L62" s="8" t="str">
        <f>VLOOKUP("#0108",translation,code,FALSE)</f>
        <v>Erklärungen der Titandioxidhersteller für alle verwendeten Titandioxidpigmente (Anlage T).</v>
      </c>
      <c r="M62" s="5"/>
      <c r="N62" s="5"/>
      <c r="O62" s="35"/>
      <c r="P62" s="5"/>
    </row>
    <row r="63" spans="2:16" ht="15" customHeight="1" x14ac:dyDescent="0.2">
      <c r="B63" s="34"/>
      <c r="D63" s="8" t="str">
        <f>VLOOKUP("#0120",translation,code,FALSE)</f>
        <v>Die EPD ist an folgender Stelle offentlich zugänglich:</v>
      </c>
      <c r="E63" s="5"/>
      <c r="H63" s="5"/>
      <c r="J63" s="34"/>
      <c r="K63" s="5"/>
      <c r="L63" s="8" t="str">
        <f>VLOOKUP("#0109",translation,code,FALSE)</f>
        <v>Ein Prüfbericht über eine Schnellbewitterungsprüfung nach Anhang D</v>
      </c>
      <c r="M63" s="5"/>
      <c r="N63" s="5"/>
      <c r="O63" s="35"/>
      <c r="P63" s="5"/>
    </row>
    <row r="64" spans="2:16" ht="15" customHeight="1" x14ac:dyDescent="0.2">
      <c r="D64" s="106"/>
      <c r="E64" s="107"/>
      <c r="G64" s="35"/>
      <c r="H64" s="5"/>
      <c r="K64" s="5"/>
      <c r="L64" s="78" t="str">
        <f>VLOOKUP("#0128",translation,code,FALSE)</f>
        <v>alternativ</v>
      </c>
      <c r="M64" s="5"/>
      <c r="N64" s="5"/>
      <c r="O64" s="91"/>
      <c r="P64" s="5"/>
    </row>
    <row r="65" spans="2:16" ht="15" customHeight="1" x14ac:dyDescent="0.2">
      <c r="D65" s="8" t="str">
        <f>VLOOKUP("#0125",translation,code,FALSE)</f>
        <v>Die Widerstandsfähigkeit gegen Aufwuchs wird nachgewiesen:</v>
      </c>
      <c r="E65" s="5"/>
      <c r="H65" s="5"/>
      <c r="J65" s="34"/>
      <c r="K65" s="5"/>
      <c r="L65" s="8" t="str">
        <f>VLOOKUP("#0111",translation,code,FALSE)</f>
        <v>Ein Bewertungsbericht des IBP für die alternativen Nachweise.</v>
      </c>
      <c r="M65" s="5"/>
      <c r="N65" s="5"/>
      <c r="O65" s="35"/>
      <c r="P65" s="5"/>
    </row>
    <row r="66" spans="2:16" ht="15" customHeight="1" x14ac:dyDescent="0.2">
      <c r="B66" s="34"/>
      <c r="D66" s="8" t="str">
        <f>VLOOKUP("#0122",translation,code,FALSE)</f>
        <v>mittels Schnellbewitterungstest nach Anhang D.</v>
      </c>
      <c r="E66" s="5"/>
      <c r="G66" s="35"/>
      <c r="H66" s="5"/>
      <c r="K66" s="5"/>
      <c r="L66" s="78" t="str">
        <f>VLOOKUP("#0110",translation,code,FALSE)</f>
        <v>oder</v>
      </c>
      <c r="M66" s="5"/>
      <c r="N66" s="5"/>
      <c r="O66" s="91"/>
      <c r="P66" s="5"/>
    </row>
    <row r="67" spans="2:16" ht="15" customHeight="1" x14ac:dyDescent="0.2">
      <c r="D67" s="78" t="str">
        <f>VLOOKUP("#0128",translation,code,FALSE)</f>
        <v>alternativ</v>
      </c>
      <c r="E67" s="5"/>
      <c r="H67" s="5"/>
      <c r="J67" s="34"/>
      <c r="K67" s="5"/>
      <c r="L67" s="8" t="str">
        <f>VLOOKUP("#0138",translation,code,FALSE)</f>
        <v>Vertrag oder Urkunde nach DE-UZ 140, Ausgabe 2019</v>
      </c>
      <c r="M67" s="5"/>
      <c r="N67" s="5"/>
      <c r="O67" s="35"/>
      <c r="P67" s="5"/>
    </row>
    <row r="68" spans="2:16" ht="15" customHeight="1" x14ac:dyDescent="0.2">
      <c r="B68" s="34"/>
      <c r="D68" s="8" t="str">
        <f>VLOOKUP("#0123",translation,code,FALSE)</f>
        <v>mittels Freibewitterungsversuchen (siehe Anhang D).</v>
      </c>
      <c r="E68" s="5"/>
      <c r="G68" s="35"/>
      <c r="H68" s="5"/>
      <c r="J68" s="34"/>
      <c r="K68" s="5"/>
      <c r="L68" s="8" t="str">
        <f>VLOOKUP("#0112",translation,code,FALSE)</f>
        <v>Bei Auslobung sonstiger technischer Eigenschaften mit genormten Methoden: Nachweise gemäß der</v>
      </c>
      <c r="M68" s="5"/>
      <c r="N68" s="5"/>
      <c r="O68" s="91"/>
      <c r="P68" s="5"/>
    </row>
    <row r="69" spans="2:16" ht="15" customHeight="1" x14ac:dyDescent="0.2">
      <c r="B69" s="34"/>
      <c r="D69" s="8" t="str">
        <f>VLOOKUP("#0126",translation,code,FALSE)</f>
        <v>mittels bewährten, repräsentativen Praxisobjekten (siehe Anhang D).</v>
      </c>
      <c r="E69" s="5"/>
      <c r="G69" s="35"/>
      <c r="H69" s="5"/>
      <c r="K69" s="5"/>
      <c r="L69" s="8" t="str">
        <f>VLOOKUP("#0113",translation,code,FALSE)</f>
        <v>entsprechenden Normen.</v>
      </c>
      <c r="M69" s="5"/>
      <c r="N69" s="5"/>
      <c r="O69" s="35"/>
      <c r="P69" s="5"/>
    </row>
    <row r="70" spans="2:16" ht="15" customHeight="1" x14ac:dyDescent="0.2">
      <c r="B70" s="34"/>
      <c r="D70" s="8" t="str">
        <f>VLOOKUP("#0127",translation,code,FALSE)</f>
        <v>mittels weiteren Schnelltests oder Verfahren zur Beurteilung der Widerstandsfähigkeit gegen Auswuchs.</v>
      </c>
      <c r="E70" s="5"/>
      <c r="G70" s="35"/>
      <c r="H70" s="5"/>
      <c r="J70" s="34"/>
      <c r="K70" s="5"/>
      <c r="L70" s="8" t="str">
        <f>VLOOKUP("#0114",translation,code,FALSE)</f>
        <v>Technische Merkblätter für alle angemeldeten Fassadenfarben.</v>
      </c>
      <c r="M70" s="5"/>
      <c r="N70" s="5"/>
      <c r="O70" s="35"/>
      <c r="P70" s="5"/>
    </row>
    <row r="71" spans="2:16" ht="15" customHeight="1" x14ac:dyDescent="0.2">
      <c r="D71" s="78" t="str">
        <f>VLOOKUP("#0110",translation,code,FALSE)</f>
        <v>oder</v>
      </c>
      <c r="E71" s="5"/>
      <c r="H71" s="5"/>
      <c r="J71" s="34"/>
      <c r="K71" s="5"/>
      <c r="L71" s="8" t="str">
        <f>VLOOKUP("#0115",translation,code,FALSE)</f>
        <v>Gebindetexte für alle Angemeldeten Fassadenfarben.</v>
      </c>
      <c r="M71" s="5"/>
      <c r="N71" s="5"/>
      <c r="O71" s="35"/>
      <c r="P71" s="5"/>
    </row>
    <row r="72" spans="2:16" ht="15" customHeight="1" x14ac:dyDescent="0.2">
      <c r="B72" s="34"/>
      <c r="D72" s="8" t="str">
        <f>VLOOKUP("#0124",translation,code,FALSE)</f>
        <v>Der Nachweis erfolgte im Rahmen der DE-UZ 140 Wärmedämmverbundsysteme</v>
      </c>
      <c r="E72" s="5"/>
      <c r="G72" s="35"/>
      <c r="H72" s="5"/>
      <c r="J72" s="34"/>
      <c r="L72" s="1" t="str">
        <f>VLOOKUP("#0140",translation,code,FALSE)</f>
        <v>Prüfbericht nach DIN EN 1062-1</v>
      </c>
      <c r="O72" s="35"/>
    </row>
    <row r="73" spans="2:16" ht="15" customHeight="1" x14ac:dyDescent="0.2">
      <c r="D73" s="8"/>
      <c r="E73" s="5"/>
      <c r="H73" s="5"/>
    </row>
    <row r="76" spans="2:16" ht="13.5" customHeight="1" x14ac:dyDescent="0.2"/>
    <row r="94" ht="15" customHeight="1" x14ac:dyDescent="0.2"/>
    <row r="96" ht="15" customHeight="1" x14ac:dyDescent="0.2"/>
    <row r="101" spans="7:15" ht="15" customHeight="1" x14ac:dyDescent="0.2"/>
    <row r="107" spans="7:15" s="1" customFormat="1" ht="13.7" customHeight="1" x14ac:dyDescent="0.2">
      <c r="G107" s="95"/>
      <c r="O107" s="95"/>
    </row>
    <row r="114" ht="15" customHeight="1" x14ac:dyDescent="0.2"/>
    <row r="115" ht="15" customHeight="1" x14ac:dyDescent="0.2"/>
    <row r="116" ht="15" customHeight="1" x14ac:dyDescent="0.2"/>
    <row r="117" ht="15" customHeight="1" x14ac:dyDescent="0.2"/>
  </sheetData>
  <sheetProtection algorithmName="SHA-512" hashValue="BTxigsaZh9MmS9T1ZvlY2mWfqMsBl4Ch//4ILpEPmXO2trjA24dsbcBAwO6JTx+GGR1jWA20pfT6FUsEhnhFig==" saltValue="v4bfDlHDvbCUfTcfzXPm5g==" spinCount="100000" sheet="1" objects="1" scenarios="1" selectLockedCells="1"/>
  <mergeCells count="3">
    <mergeCell ref="D54:E54"/>
    <mergeCell ref="D56:E56"/>
    <mergeCell ref="D64:E64"/>
  </mergeCells>
  <phoneticPr fontId="1" type="noConversion"/>
  <conditionalFormatting sqref="B66 G66 B68 G68 B72 G72">
    <cfRule type="expression" dxfId="142" priority="16">
      <formula>$B$70&lt;&gt;""</formula>
    </cfRule>
  </conditionalFormatting>
  <conditionalFormatting sqref="B66 G66 B70 G70 B72 G72">
    <cfRule type="expression" dxfId="141" priority="18">
      <formula>$B$68&lt;&gt;""</formula>
    </cfRule>
  </conditionalFormatting>
  <conditionalFormatting sqref="B66 G66 B72 G72">
    <cfRule type="expression" dxfId="140" priority="14">
      <formula>$B$69&lt;&gt;""</formula>
    </cfRule>
  </conditionalFormatting>
  <conditionalFormatting sqref="B66:B70 G66:G70">
    <cfRule type="expression" dxfId="139" priority="19">
      <formula>$B$72&lt;&gt;""</formula>
    </cfRule>
  </conditionalFormatting>
  <conditionalFormatting sqref="B68 G68">
    <cfRule type="expression" dxfId="138" priority="13">
      <formula>$B$69&lt;&gt;""</formula>
    </cfRule>
  </conditionalFormatting>
  <conditionalFormatting sqref="B68:B70 G68:G70 B72 G72">
    <cfRule type="expression" dxfId="137" priority="20">
      <formula>$B$66&lt;&gt;""</formula>
    </cfRule>
  </conditionalFormatting>
  <conditionalFormatting sqref="B69 G69">
    <cfRule type="expression" dxfId="136" priority="15">
      <formula>$B$70&lt;&gt;""</formula>
    </cfRule>
    <cfRule type="expression" dxfId="135" priority="17">
      <formula>$B$68&lt;&gt;""</formula>
    </cfRule>
  </conditionalFormatting>
  <conditionalFormatting sqref="B70 G70">
    <cfRule type="expression" dxfId="134" priority="12">
      <formula>$B$69&lt;&gt;""</formula>
    </cfRule>
  </conditionalFormatting>
  <conditionalFormatting sqref="D66:D67 D69:D72">
    <cfRule type="expression" dxfId="133" priority="24">
      <formula>$B$68&lt;&gt;""</formula>
    </cfRule>
  </conditionalFormatting>
  <conditionalFormatting sqref="D66:D68 D70:D72">
    <cfRule type="expression" dxfId="132" priority="23">
      <formula>$B$69&lt;&gt;""</formula>
    </cfRule>
  </conditionalFormatting>
  <conditionalFormatting sqref="D66:D69 D71:D72">
    <cfRule type="expression" dxfId="131" priority="22">
      <formula>$B$70&lt;&gt;""</formula>
    </cfRule>
  </conditionalFormatting>
  <conditionalFormatting sqref="D66:D71">
    <cfRule type="expression" dxfId="130" priority="21">
      <formula>$B$72&lt;&gt;""</formula>
    </cfRule>
  </conditionalFormatting>
  <conditionalFormatting sqref="D67:D72">
    <cfRule type="expression" dxfId="129" priority="25">
      <formula>$B$66&lt;&gt;""</formula>
    </cfRule>
  </conditionalFormatting>
  <conditionalFormatting sqref="G31">
    <cfRule type="cellIs" dxfId="128" priority="10" stopIfTrue="1" operator="equal">
      <formula>"a"</formula>
    </cfRule>
    <cfRule type="cellIs" dxfId="127" priority="11" stopIfTrue="1" operator="equal">
      <formula>"r"</formula>
    </cfRule>
  </conditionalFormatting>
  <conditionalFormatting sqref="G58">
    <cfRule type="cellIs" dxfId="126" priority="53" stopIfTrue="1" operator="equal">
      <formula>"a"</formula>
    </cfRule>
    <cfRule type="cellIs" dxfId="125" priority="54" stopIfTrue="1" operator="equal">
      <formula>"r"</formula>
    </cfRule>
  </conditionalFormatting>
  <conditionalFormatting sqref="G60:G62">
    <cfRule type="cellIs" dxfId="124" priority="8" stopIfTrue="1" operator="equal">
      <formula>"a"</formula>
    </cfRule>
    <cfRule type="cellIs" dxfId="123" priority="9" stopIfTrue="1" operator="equal">
      <formula>"r"</formula>
    </cfRule>
  </conditionalFormatting>
  <conditionalFormatting sqref="G64">
    <cfRule type="cellIs" dxfId="122" priority="95" stopIfTrue="1" operator="equal">
      <formula>"a"</formula>
    </cfRule>
    <cfRule type="cellIs" dxfId="121" priority="96" stopIfTrue="1" operator="equal">
      <formula>"r"</formula>
    </cfRule>
  </conditionalFormatting>
  <conditionalFormatting sqref="G66">
    <cfRule type="cellIs" dxfId="120" priority="79" stopIfTrue="1" operator="equal">
      <formula>"r"</formula>
    </cfRule>
    <cfRule type="cellIs" dxfId="119" priority="78" stopIfTrue="1" operator="equal">
      <formula>"a"</formula>
    </cfRule>
  </conditionalFormatting>
  <conditionalFormatting sqref="G68:G70">
    <cfRule type="cellIs" dxfId="118" priority="70" stopIfTrue="1" operator="equal">
      <formula>"a"</formula>
    </cfRule>
    <cfRule type="cellIs" dxfId="117" priority="71" stopIfTrue="1" operator="equal">
      <formula>"r"</formula>
    </cfRule>
  </conditionalFormatting>
  <conditionalFormatting sqref="G72">
    <cfRule type="cellIs" dxfId="116" priority="75" stopIfTrue="1" operator="equal">
      <formula>"r"</formula>
    </cfRule>
    <cfRule type="cellIs" dxfId="115" priority="74" stopIfTrue="1" operator="equal">
      <formula>"a"</formula>
    </cfRule>
  </conditionalFormatting>
  <conditionalFormatting sqref="J18">
    <cfRule type="expression" dxfId="114" priority="28">
      <formula>$J$17=""</formula>
    </cfRule>
  </conditionalFormatting>
  <conditionalFormatting sqref="J39">
    <cfRule type="expression" dxfId="113" priority="36">
      <formula>$J$38=""</formula>
    </cfRule>
  </conditionalFormatting>
  <conditionalFormatting sqref="J58 O58">
    <cfRule type="expression" dxfId="112" priority="93">
      <formula>$J$60&lt;&gt;""</formula>
    </cfRule>
    <cfRule type="expression" dxfId="111" priority="50">
      <formula>$B$38&lt;&gt;""</formula>
    </cfRule>
  </conditionalFormatting>
  <conditionalFormatting sqref="J60 O60">
    <cfRule type="expression" dxfId="110" priority="49">
      <formula>$B$38&lt;&gt;""</formula>
    </cfRule>
    <cfRule type="expression" dxfId="109" priority="94">
      <formula>$J$58&lt;&gt;""</formula>
    </cfRule>
  </conditionalFormatting>
  <conditionalFormatting sqref="J63 O63">
    <cfRule type="expression" dxfId="108" priority="92">
      <formula>OR($J$67&lt;&gt;"",$J$65&lt;&gt;"")</formula>
    </cfRule>
  </conditionalFormatting>
  <conditionalFormatting sqref="J65">
    <cfRule type="expression" dxfId="107" priority="90">
      <formula>OR($J$67&lt;&gt;"",$J$63&lt;&gt;"")</formula>
    </cfRule>
  </conditionalFormatting>
  <conditionalFormatting sqref="J67">
    <cfRule type="expression" dxfId="106" priority="83">
      <formula>OR($J$63&lt;&gt;"",$J$65&lt;&gt;"")</formula>
    </cfRule>
  </conditionalFormatting>
  <conditionalFormatting sqref="L18">
    <cfRule type="expression" dxfId="105" priority="29">
      <formula>$J$17=""</formula>
    </cfRule>
  </conditionalFormatting>
  <conditionalFormatting sqref="L39">
    <cfRule type="expression" dxfId="104" priority="34">
      <formula>$J$38=""</formula>
    </cfRule>
  </conditionalFormatting>
  <conditionalFormatting sqref="L58:L59">
    <cfRule type="expression" dxfId="103" priority="43">
      <formula>$J$60&lt;&gt;""</formula>
    </cfRule>
  </conditionalFormatting>
  <conditionalFormatting sqref="L58:L60">
    <cfRule type="expression" dxfId="102" priority="48">
      <formula>$B$38&lt;&gt;""</formula>
    </cfRule>
  </conditionalFormatting>
  <conditionalFormatting sqref="L59:L60">
    <cfRule type="expression" dxfId="101" priority="44">
      <formula>$J$58&lt;&gt;""</formula>
    </cfRule>
  </conditionalFormatting>
  <conditionalFormatting sqref="L63:L64 L66:L67">
    <cfRule type="expression" dxfId="100" priority="46">
      <formula>$J$65&lt;&gt;""</formula>
    </cfRule>
  </conditionalFormatting>
  <conditionalFormatting sqref="L63:L66">
    <cfRule type="expression" dxfId="99" priority="45">
      <formula>$J$67&lt;&gt;""</formula>
    </cfRule>
  </conditionalFormatting>
  <conditionalFormatting sqref="L64:L67">
    <cfRule type="expression" dxfId="98" priority="47">
      <formula>$J$63&lt;&gt;""</formula>
    </cfRule>
  </conditionalFormatting>
  <conditionalFormatting sqref="O13:O14">
    <cfRule type="cellIs" dxfId="97" priority="7" stopIfTrue="1" operator="equal">
      <formula>"r"</formula>
    </cfRule>
    <cfRule type="cellIs" dxfId="96" priority="6" stopIfTrue="1" operator="equal">
      <formula>"a"</formula>
    </cfRule>
  </conditionalFormatting>
  <conditionalFormatting sqref="O16 O44:O46">
    <cfRule type="cellIs" dxfId="95" priority="124" stopIfTrue="1" operator="equal">
      <formula>"r"</formula>
    </cfRule>
    <cfRule type="cellIs" dxfId="94" priority="123" stopIfTrue="1" operator="equal">
      <formula>"a"</formula>
    </cfRule>
  </conditionalFormatting>
  <conditionalFormatting sqref="O18">
    <cfRule type="expression" dxfId="93" priority="27">
      <formula>$J$17=""</formula>
    </cfRule>
  </conditionalFormatting>
  <conditionalFormatting sqref="O18:O24">
    <cfRule type="cellIs" dxfId="92" priority="39" stopIfTrue="1" operator="equal">
      <formula>"a"</formula>
    </cfRule>
    <cfRule type="cellIs" dxfId="91" priority="40" stopIfTrue="1" operator="equal">
      <formula>"r"</formula>
    </cfRule>
  </conditionalFormatting>
  <conditionalFormatting sqref="O26:O35">
    <cfRule type="cellIs" dxfId="90" priority="112" stopIfTrue="1" operator="equal">
      <formula>"r"</formula>
    </cfRule>
    <cfRule type="cellIs" dxfId="89" priority="111" stopIfTrue="1" operator="equal">
      <formula>"a"</formula>
    </cfRule>
  </conditionalFormatting>
  <conditionalFormatting sqref="O37">
    <cfRule type="cellIs" dxfId="88" priority="117" stopIfTrue="1" operator="equal">
      <formula>"a"</formula>
    </cfRule>
    <cfRule type="cellIs" dxfId="87" priority="118" stopIfTrue="1" operator="equal">
      <formula>"r"</formula>
    </cfRule>
  </conditionalFormatting>
  <conditionalFormatting sqref="O39">
    <cfRule type="cellIs" dxfId="86" priority="38" stopIfTrue="1" operator="equal">
      <formula>"r"</formula>
    </cfRule>
    <cfRule type="cellIs" dxfId="85" priority="37" stopIfTrue="1" operator="equal">
      <formula>"a"</formula>
    </cfRule>
    <cfRule type="expression" dxfId="84" priority="30">
      <formula>$J$38=""</formula>
    </cfRule>
  </conditionalFormatting>
  <conditionalFormatting sqref="O41:O42">
    <cfRule type="cellIs" dxfId="83" priority="4" stopIfTrue="1" operator="equal">
      <formula>"a"</formula>
    </cfRule>
    <cfRule type="cellIs" dxfId="82" priority="5" stopIfTrue="1" operator="equal">
      <formula>"r"</formula>
    </cfRule>
  </conditionalFormatting>
  <conditionalFormatting sqref="O48:O51">
    <cfRule type="cellIs" dxfId="81" priority="115" stopIfTrue="1" operator="equal">
      <formula>"a"</formula>
    </cfRule>
    <cfRule type="cellIs" dxfId="80" priority="116" stopIfTrue="1" operator="equal">
      <formula>"r"</formula>
    </cfRule>
  </conditionalFormatting>
  <conditionalFormatting sqref="O53:O54">
    <cfRule type="cellIs" dxfId="79" priority="3" stopIfTrue="1" operator="equal">
      <formula>"r"</formula>
    </cfRule>
    <cfRule type="cellIs" dxfId="78" priority="2" stopIfTrue="1" operator="equal">
      <formula>"a"</formula>
    </cfRule>
  </conditionalFormatting>
  <conditionalFormatting sqref="O55:O58">
    <cfRule type="cellIs" dxfId="77" priority="101" stopIfTrue="1" operator="equal">
      <formula>"a"</formula>
    </cfRule>
    <cfRule type="cellIs" dxfId="76" priority="102" stopIfTrue="1" operator="equal">
      <formula>"r"</formula>
    </cfRule>
  </conditionalFormatting>
  <conditionalFormatting sqref="O60:O63 O65">
    <cfRule type="cellIs" dxfId="75" priority="119" stopIfTrue="1" operator="equal">
      <formula>"a"</formula>
    </cfRule>
    <cfRule type="cellIs" dxfId="74" priority="120" stopIfTrue="1" operator="equal">
      <formula>"r"</formula>
    </cfRule>
  </conditionalFormatting>
  <conditionalFormatting sqref="O65">
    <cfRule type="expression" dxfId="73" priority="91">
      <formula>OR($J$63&lt;&gt;"",$J$67&lt;&gt;"")</formula>
    </cfRule>
  </conditionalFormatting>
  <conditionalFormatting sqref="O67">
    <cfRule type="expression" dxfId="72" priority="80">
      <formula>OR($J$63&lt;&gt;"",$J$65&lt;&gt;"")</formula>
    </cfRule>
    <cfRule type="cellIs" dxfId="71" priority="81" stopIfTrue="1" operator="equal">
      <formula>"a"</formula>
    </cfRule>
    <cfRule type="cellIs" dxfId="70" priority="82" stopIfTrue="1" operator="equal">
      <formula>"r"</formula>
    </cfRule>
  </conditionalFormatting>
  <conditionalFormatting sqref="O69:O72">
    <cfRule type="cellIs" dxfId="69" priority="52" stopIfTrue="1" operator="equal">
      <formula>"r"</formula>
    </cfRule>
    <cfRule type="cellIs" dxfId="68" priority="51" stopIfTrue="1" operator="equal">
      <formula>"a"</formula>
    </cfRule>
  </conditionalFormatting>
  <pageMargins left="0.78740157480314965" right="0.78740157480314965" top="0.78740157480314965" bottom="0.78740157480314965" header="0.51181102362204722" footer="0.51181102362204722"/>
  <pageSetup paperSize="9" scale="70" fitToWidth="2" orientation="portrait" r:id="rId1"/>
  <headerFooter alignWithMargins="0"/>
  <colBreaks count="1" manualBreakCount="1">
    <brk id="8" max="1048575" man="1"/>
  </colBreaks>
  <drawing r:id="rId2"/>
  <legacyDrawing r:id="rId3"/>
  <controls>
    <mc:AlternateContent xmlns:mc="http://schemas.openxmlformats.org/markup-compatibility/2006">
      <mc:Choice Requires="x14">
        <control shapeId="12289" r:id="rId4" name="CheckBox1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89" r:id="rId4" name="CheckBox1"/>
      </mc:Fallback>
    </mc:AlternateContent>
    <mc:AlternateContent xmlns:mc="http://schemas.openxmlformats.org/markup-compatibility/2006">
      <mc:Choice Requires="x14">
        <control shapeId="12290" r:id="rId6" name="CheckBox3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0" r:id="rId6" name="CheckBox3"/>
      </mc:Fallback>
    </mc:AlternateContent>
    <mc:AlternateContent xmlns:mc="http://schemas.openxmlformats.org/markup-compatibility/2006">
      <mc:Choice Requires="x14">
        <control shapeId="12291" r:id="rId7" name="CheckBox4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1" r:id="rId7" name="CheckBox4"/>
      </mc:Fallback>
    </mc:AlternateContent>
    <mc:AlternateContent xmlns:mc="http://schemas.openxmlformats.org/markup-compatibility/2006">
      <mc:Choice Requires="x14">
        <control shapeId="12292" r:id="rId9" name="CheckBox5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2" r:id="rId9" name="CheckBox5"/>
      </mc:Fallback>
    </mc:AlternateContent>
    <mc:AlternateContent xmlns:mc="http://schemas.openxmlformats.org/markup-compatibility/2006">
      <mc:Choice Requires="x14">
        <control shapeId="12293" r:id="rId10" name="CheckBox6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3" r:id="rId10" name="CheckBox6"/>
      </mc:Fallback>
    </mc:AlternateContent>
    <mc:AlternateContent xmlns:mc="http://schemas.openxmlformats.org/markup-compatibility/2006">
      <mc:Choice Requires="x14">
        <control shapeId="12294" r:id="rId11" name="CheckBox7">
          <controlPr autoLine="0" autoPict="0" r:id="rId8">
            <anchor moveWithCells="1" sizeWithCells="1">
              <from>
                <xdr:col>8</xdr:col>
                <xdr:colOff>0</xdr:colOff>
                <xdr:row>19</xdr:row>
                <xdr:rowOff>0</xdr:rowOff>
              </from>
              <to>
                <xdr:col>8</xdr:col>
                <xdr:colOff>0</xdr:colOff>
                <xdr:row>19</xdr:row>
                <xdr:rowOff>0</xdr:rowOff>
              </to>
            </anchor>
          </controlPr>
        </control>
      </mc:Choice>
      <mc:Fallback>
        <control shapeId="12294" r:id="rId11" name="CheckBox7"/>
      </mc:Fallback>
    </mc:AlternateContent>
    <mc:AlternateContent xmlns:mc="http://schemas.openxmlformats.org/markup-compatibility/2006">
      <mc:Choice Requires="x14">
        <control shapeId="12295" r:id="rId12" name="CheckBox8">
          <controlPr autoLine="0" autoPict="0" r:id="rId8">
            <anchor moveWithCells="1" sizeWithCells="1">
              <from>
                <xdr:col>8</xdr:col>
                <xdr:colOff>0</xdr:colOff>
                <xdr:row>19</xdr:row>
                <xdr:rowOff>0</xdr:rowOff>
              </from>
              <to>
                <xdr:col>8</xdr:col>
                <xdr:colOff>0</xdr:colOff>
                <xdr:row>19</xdr:row>
                <xdr:rowOff>0</xdr:rowOff>
              </to>
            </anchor>
          </controlPr>
        </control>
      </mc:Choice>
      <mc:Fallback>
        <control shapeId="12295" r:id="rId12" name="CheckBox8"/>
      </mc:Fallback>
    </mc:AlternateContent>
    <mc:AlternateContent xmlns:mc="http://schemas.openxmlformats.org/markup-compatibility/2006">
      <mc:Choice Requires="x14">
        <control shapeId="12296" r:id="rId13" name="CheckBox9">
          <controlPr autoLine="0" autoPict="0" r:id="rId8">
            <anchor moveWithCells="1" sizeWithCells="1">
              <from>
                <xdr:col>8</xdr:col>
                <xdr:colOff>0</xdr:colOff>
                <xdr:row>31</xdr:row>
                <xdr:rowOff>0</xdr:rowOff>
              </from>
              <to>
                <xdr:col>8</xdr:col>
                <xdr:colOff>0</xdr:colOff>
                <xdr:row>31</xdr:row>
                <xdr:rowOff>0</xdr:rowOff>
              </to>
            </anchor>
          </controlPr>
        </control>
      </mc:Choice>
      <mc:Fallback>
        <control shapeId="12296" r:id="rId13" name="CheckBox9"/>
      </mc:Fallback>
    </mc:AlternateContent>
    <mc:AlternateContent xmlns:mc="http://schemas.openxmlformats.org/markup-compatibility/2006">
      <mc:Choice Requires="x14">
        <control shapeId="12297" r:id="rId14" name="CheckBox10">
          <controlPr autoLine="0" autoPict="0" r:id="rId8">
            <anchor moveWithCells="1" sizeWithCells="1">
              <from>
                <xdr:col>8</xdr:col>
                <xdr:colOff>0</xdr:colOff>
                <xdr:row>31</xdr:row>
                <xdr:rowOff>0</xdr:rowOff>
              </from>
              <to>
                <xdr:col>8</xdr:col>
                <xdr:colOff>0</xdr:colOff>
                <xdr:row>31</xdr:row>
                <xdr:rowOff>0</xdr:rowOff>
              </to>
            </anchor>
          </controlPr>
        </control>
      </mc:Choice>
      <mc:Fallback>
        <control shapeId="12297" r:id="rId14" name="CheckBox10"/>
      </mc:Fallback>
    </mc:AlternateContent>
    <mc:AlternateContent xmlns:mc="http://schemas.openxmlformats.org/markup-compatibility/2006">
      <mc:Choice Requires="x14">
        <control shapeId="12306" r:id="rId15" name="CheckBox2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6" r:id="rId15" name="CheckBox2"/>
      </mc:Fallback>
    </mc:AlternateContent>
    <mc:AlternateContent xmlns:mc="http://schemas.openxmlformats.org/markup-compatibility/2006">
      <mc:Choice Requires="x14">
        <control shapeId="12307" r:id="rId16" name="CheckBox19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7" r:id="rId16" name="CheckBox19"/>
      </mc:Fallback>
    </mc:AlternateContent>
    <mc:AlternateContent xmlns:mc="http://schemas.openxmlformats.org/markup-compatibility/2006">
      <mc:Choice Requires="x14">
        <control shapeId="12308" r:id="rId17" name="CheckBox20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8" r:id="rId17" name="CheckBox20"/>
      </mc:Fallback>
    </mc:AlternateContent>
    <mc:AlternateContent xmlns:mc="http://schemas.openxmlformats.org/markup-compatibility/2006">
      <mc:Choice Requires="x14">
        <control shapeId="12309" r:id="rId18" name="CheckBox21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9" r:id="rId18" name="CheckBox21"/>
      </mc:Fallback>
    </mc:AlternateContent>
    <mc:AlternateContent xmlns:mc="http://schemas.openxmlformats.org/markup-compatibility/2006">
      <mc:Choice Requires="x14">
        <control shapeId="12310" r:id="rId19" name="CheckBox22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10" r:id="rId19" name="CheckBox22"/>
      </mc:Fallback>
    </mc:AlternateContent>
    <mc:AlternateContent xmlns:mc="http://schemas.openxmlformats.org/markup-compatibility/2006">
      <mc:Choice Requires="x14">
        <control shapeId="12314" r:id="rId20" name="CheckBox26">
          <controlPr autoLine="0" autoPict="0" r:id="rId8">
            <anchor moveWithCells="1" sizeWithCells="1">
              <from>
                <xdr:col>8</xdr:col>
                <xdr:colOff>0</xdr:colOff>
                <xdr:row>41</xdr:row>
                <xdr:rowOff>0</xdr:rowOff>
              </from>
              <to>
                <xdr:col>8</xdr:col>
                <xdr:colOff>0</xdr:colOff>
                <xdr:row>41</xdr:row>
                <xdr:rowOff>0</xdr:rowOff>
              </to>
            </anchor>
          </controlPr>
        </control>
      </mc:Choice>
      <mc:Fallback>
        <control shapeId="12314" r:id="rId20" name="CheckBox26"/>
      </mc:Fallback>
    </mc:AlternateContent>
  </control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Text!$B$1:$C$1</xm:f>
          </x14:formula1>
          <xm:sqref>F2 N2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K61"/>
  <sheetViews>
    <sheetView workbookViewId="0">
      <selection activeCell="I37" sqref="I37"/>
    </sheetView>
  </sheetViews>
  <sheetFormatPr baseColWidth="10" defaultRowHeight="12.75" x14ac:dyDescent="0.2"/>
  <cols>
    <col min="1" max="1" width="67.28515625" style="28" bestFit="1" customWidth="1"/>
    <col min="2" max="2" width="11.42578125" style="28" customWidth="1"/>
    <col min="3" max="3" width="16.85546875" style="28" bestFit="1" customWidth="1"/>
    <col min="4" max="4" width="11.42578125" style="28"/>
    <col min="5" max="5" width="21.140625" style="28" bestFit="1" customWidth="1"/>
    <col min="6" max="6" width="11.42578125" style="28"/>
    <col min="7" max="7" width="20" style="28" bestFit="1" customWidth="1"/>
    <col min="8" max="8" width="11.42578125" style="28"/>
    <col min="9" max="9" width="32" style="28" bestFit="1" customWidth="1"/>
    <col min="10" max="10" width="42.42578125" style="28" bestFit="1" customWidth="1"/>
    <col min="11" max="16384" width="11.42578125" style="28"/>
  </cols>
  <sheetData>
    <row r="1" spans="1:11" x14ac:dyDescent="0.2">
      <c r="A1" s="46" t="s">
        <v>29</v>
      </c>
      <c r="C1" s="46"/>
      <c r="E1" s="46"/>
      <c r="G1" s="46"/>
      <c r="I1" s="46"/>
    </row>
    <row r="3" spans="1:11" x14ac:dyDescent="0.2">
      <c r="A3" s="28" t="str">
        <f>VLOOKUP("#0029",translation,code,FALSE)</f>
        <v>Ja</v>
      </c>
    </row>
    <row r="4" spans="1:11" x14ac:dyDescent="0.2">
      <c r="A4" s="28" t="str">
        <f>VLOOKUP("#0030",translation,code,FALSE)</f>
        <v>Nein</v>
      </c>
    </row>
    <row r="5" spans="1:11" x14ac:dyDescent="0.2">
      <c r="C5" s="27"/>
      <c r="E5" s="27"/>
    </row>
    <row r="11" spans="1:11" x14ac:dyDescent="0.2">
      <c r="A11" s="46"/>
      <c r="C11" s="46"/>
      <c r="E11" s="46"/>
    </row>
    <row r="12" spans="1:11" x14ac:dyDescent="0.2">
      <c r="A12" s="27"/>
      <c r="J12" s="47"/>
    </row>
    <row r="13" spans="1:11" x14ac:dyDescent="0.2">
      <c r="K13" s="47"/>
    </row>
    <row r="14" spans="1:11" x14ac:dyDescent="0.2">
      <c r="G14" s="46"/>
      <c r="I14" s="46"/>
      <c r="J14" s="46"/>
    </row>
    <row r="15" spans="1:11" x14ac:dyDescent="0.2">
      <c r="I15" s="46"/>
    </row>
    <row r="16" spans="1:11" x14ac:dyDescent="0.2">
      <c r="C16" s="46"/>
    </row>
    <row r="17" spans="1:7" x14ac:dyDescent="0.2">
      <c r="A17" s="46"/>
      <c r="C17" s="27"/>
    </row>
    <row r="18" spans="1:7" x14ac:dyDescent="0.2">
      <c r="A18" s="27"/>
    </row>
    <row r="19" spans="1:7" x14ac:dyDescent="0.2">
      <c r="A19" s="27"/>
    </row>
    <row r="20" spans="1:7" x14ac:dyDescent="0.2">
      <c r="A20" s="27"/>
    </row>
    <row r="21" spans="1:7" x14ac:dyDescent="0.2">
      <c r="C21" s="46"/>
    </row>
    <row r="22" spans="1:7" x14ac:dyDescent="0.2">
      <c r="C22" s="27"/>
    </row>
    <row r="23" spans="1:7" x14ac:dyDescent="0.2">
      <c r="A23" s="46"/>
      <c r="G23" s="46"/>
    </row>
    <row r="24" spans="1:7" x14ac:dyDescent="0.2">
      <c r="A24" s="27"/>
    </row>
    <row r="25" spans="1:7" x14ac:dyDescent="0.2">
      <c r="C25" s="27"/>
      <c r="G25" s="27"/>
    </row>
    <row r="26" spans="1:7" x14ac:dyDescent="0.2">
      <c r="C26" s="46"/>
    </row>
    <row r="29" spans="1:7" x14ac:dyDescent="0.2">
      <c r="A29" s="46"/>
      <c r="G29" s="46"/>
    </row>
    <row r="30" spans="1:7" x14ac:dyDescent="0.2">
      <c r="A30" s="27"/>
    </row>
    <row r="33" spans="1:3" x14ac:dyDescent="0.2">
      <c r="C33" s="46"/>
    </row>
    <row r="35" spans="1:3" x14ac:dyDescent="0.2">
      <c r="C35" s="45"/>
    </row>
    <row r="36" spans="1:3" x14ac:dyDescent="0.2">
      <c r="C36" s="45"/>
    </row>
    <row r="37" spans="1:3" x14ac:dyDescent="0.2">
      <c r="C37" s="48"/>
    </row>
    <row r="38" spans="1:3" x14ac:dyDescent="0.2">
      <c r="A38" s="46"/>
    </row>
    <row r="39" spans="1:3" x14ac:dyDescent="0.2">
      <c r="A39" s="27"/>
    </row>
    <row r="44" spans="1:3" x14ac:dyDescent="0.2">
      <c r="A44" s="46"/>
    </row>
    <row r="56" spans="1:1" x14ac:dyDescent="0.2">
      <c r="A56" s="46"/>
    </row>
    <row r="61" spans="1:1" x14ac:dyDescent="0.2">
      <c r="A61" s="46"/>
    </row>
  </sheetData>
  <sheetProtection algorithmName="SHA-512" hashValue="CF49ZDOtq6/ailQqAw65PF5nP5mV6i4x8iG1HZPcrcpmsWE4L9PzrpYSjbKzyPUSs9r+gAwpBkoCVJbJUmvi5Q==" saltValue="QlK936lIqvnoO0UBuu9HqA==" spinCount="100000" sheet="1" objects="1" scenarios="1" selectLockedCells="1" selectUnlockedCell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35633-769B-4A79-B76B-16BB6A26D86A}">
  <dimension ref="C2:S45"/>
  <sheetViews>
    <sheetView zoomScaleNormal="100" workbookViewId="0">
      <selection activeCell="D4" sqref="D4"/>
    </sheetView>
  </sheetViews>
  <sheetFormatPr baseColWidth="10" defaultRowHeight="13.5" customHeight="1" x14ac:dyDescent="0.2"/>
  <cols>
    <col min="1" max="2" width="2.5703125" style="5" customWidth="1"/>
    <col min="3" max="3" width="29.140625" style="5" customWidth="1"/>
    <col min="4" max="4" width="43.42578125" style="5" customWidth="1"/>
    <col min="5" max="5" width="28.5703125" style="5" customWidth="1"/>
    <col min="6" max="9" width="14.140625" style="5" customWidth="1"/>
    <col min="10" max="11" width="2.5703125" style="5" customWidth="1"/>
    <col min="12" max="12" width="43.42578125" style="5" bestFit="1" customWidth="1"/>
    <col min="13" max="13" width="28.5703125" style="5" customWidth="1"/>
    <col min="14" max="14" width="18.7109375" style="5" customWidth="1"/>
    <col min="15" max="15" width="11.42578125" style="5"/>
    <col min="16" max="16" width="16.28515625" style="5" customWidth="1"/>
    <col min="17" max="18" width="11.42578125" style="5"/>
    <col min="19" max="19" width="2.5703125" style="5" customWidth="1"/>
    <col min="20" max="16384" width="11.42578125" style="5"/>
  </cols>
  <sheetData>
    <row r="2" spans="3:19" ht="13.5" customHeight="1" x14ac:dyDescent="0.2">
      <c r="C2" s="4" t="str">
        <f>VLOOKUP("#0052",translation,code,FALSE)</f>
        <v>Rezeptur 1</v>
      </c>
      <c r="I2" s="42" t="str">
        <f>VLOOKUP("#0129",translation,code,FALSE)</f>
        <v>Seite 1/2</v>
      </c>
      <c r="L2" s="4" t="str">
        <f>VLOOKUP("#0054",translation,code,FALSE)</f>
        <v>Mischsystem mit Basis 1</v>
      </c>
      <c r="R2" s="42" t="str">
        <f>VLOOKUP("#0130",translation,code,FALSE)</f>
        <v>Seite 2/2</v>
      </c>
    </row>
    <row r="4" spans="3:19" ht="13.5" customHeight="1" x14ac:dyDescent="0.2">
      <c r="C4" s="5" t="str">
        <f>VLOOKUP("#0015",translation,code,FALSE)</f>
        <v>Handelsname der Produkts:</v>
      </c>
      <c r="D4" s="55"/>
      <c r="L4" s="5" t="str">
        <f>VLOOKUP("#0055",translation,code,FALSE)</f>
        <v>wenn zutreffend</v>
      </c>
    </row>
    <row r="5" spans="3:19" ht="12.75" x14ac:dyDescent="0.2"/>
    <row r="6" spans="3:19" ht="13.5" customHeight="1" x14ac:dyDescent="0.2">
      <c r="C6" s="5" t="str">
        <f>VLOOKUP("#0039",translation,code,FALSE)</f>
        <v>Farbton:</v>
      </c>
      <c r="D6" s="55"/>
      <c r="F6" s="63" t="str">
        <f>VLOOKUP("#0040",translation,code,FALSE)</f>
        <v>als Basis für ein Mischsystem verwendet</v>
      </c>
      <c r="G6" s="55"/>
      <c r="H6" s="74" t="str">
        <f>IF(OR(G6="Ja",G6="Yes"),"ª","")</f>
        <v/>
      </c>
      <c r="I6" s="4" t="str">
        <f>IF(OR(G6="Ja",G6="Yes"),IF(Information!$F$2=Text!$B$1,Text!$B$43,Text!$C$43),"")</f>
        <v/>
      </c>
      <c r="L6" s="5" t="str">
        <f>VLOOKUP("#0058",translation,code,FALSE)</f>
        <v>Die Basis wird separat verkauft.</v>
      </c>
      <c r="M6" s="55"/>
    </row>
    <row r="7" spans="3:19" ht="13.5" customHeight="1" x14ac:dyDescent="0.2">
      <c r="C7" s="5" t="str">
        <f>VLOOKUP("#0037",translation,code,FALSE)</f>
        <v>Spezifische Dichte [g/ml]:</v>
      </c>
      <c r="D7" s="55"/>
    </row>
    <row r="8" spans="3:19" ht="13.5" customHeight="1" x14ac:dyDescent="0.2">
      <c r="C8" s="5" t="str">
        <f>VLOOKUP("#0038",translation,code,FALSE)</f>
        <v>nichtflüchtiger Anteil:</v>
      </c>
      <c r="D8" s="55"/>
    </row>
    <row r="10" spans="3:19" ht="51" x14ac:dyDescent="0.2">
      <c r="C10" s="67" t="str">
        <f>VLOOKUP("#0031",translation,code,FALSE)</f>
        <v>Funktion</v>
      </c>
      <c r="D10" s="67" t="str">
        <f>VLOOKUP("#0032",translation,code,FALSE)</f>
        <v>Substanz-/Handelsname
(wie im Sicherheitsdatenblatt
angegeben oder IUPAC Name)</v>
      </c>
      <c r="E10" s="67" t="str">
        <f>VLOOKUP("#0033",translation,code,FALSE)</f>
        <v>Hersteller / Lieferant</v>
      </c>
      <c r="F10" s="67" t="str">
        <f>VLOOKUP("#0034",translation,code,FALSE)</f>
        <v>Einsatz-
menge
[Gew.-%]</v>
      </c>
      <c r="G10" s="67" t="str">
        <f>VLOOKUP("#0035",translation,code,FALSE)</f>
        <v>SDS
beige-
fügt?</v>
      </c>
      <c r="H10" s="67" t="str">
        <f>VLOOKUP("#0036",translation,code,FALSE)</f>
        <v>Chemikalien-
erklärung
beigefügt?</v>
      </c>
      <c r="I10" s="67" t="str">
        <f>VLOOKUP("#0046",translation,code,FALSE)</f>
        <v>VOC
[Gew.-%]</v>
      </c>
      <c r="J10" s="59"/>
      <c r="L10" s="67" t="str">
        <f>VLOOKUP("#0044",translation,code,FALSE)</f>
        <v>Substanz-/Handelsname der
Farbpaste/des Pigments
(wie im Sicherheitsdatenblatt
angegeben oder IUPAC Name)</v>
      </c>
      <c r="M10" s="67" t="str">
        <f>VLOOKUP("#0033",translation,code,FALSE)</f>
        <v>Hersteller / Lieferant</v>
      </c>
      <c r="N10" s="67" t="str">
        <f>VLOOKUP("#0045",translation,code,FALSE)</f>
        <v>Einsatzmenge in
der fertigen Farbe
[Gew.-%]</v>
      </c>
      <c r="O10" s="67" t="str">
        <f>VLOOKUP("#0035",translation,code,FALSE)</f>
        <v>SDS
beige-
fügt?</v>
      </c>
      <c r="P10" s="67" t="str">
        <f>VLOOKUP("#0036",translation,code,FALSE)</f>
        <v>Chemikalien-
erklärung
beigefügt?</v>
      </c>
      <c r="Q10" s="67" t="str">
        <f>VLOOKUP("#0046",translation,code,FALSE)</f>
        <v>VOC
[Gew.-%]</v>
      </c>
      <c r="R10" s="67" t="str">
        <f>VLOOKUP("#0051",translation,code,FALSE)</f>
        <v>VOC
mit Basis
[Gew.-%]</v>
      </c>
      <c r="S10" s="59"/>
    </row>
    <row r="11" spans="3:19" ht="13.5" customHeight="1" x14ac:dyDescent="0.2">
      <c r="C11" s="58"/>
      <c r="D11" s="56"/>
      <c r="E11" s="66"/>
      <c r="F11" s="56"/>
      <c r="G11" s="54"/>
      <c r="H11" s="58"/>
      <c r="I11" s="58"/>
      <c r="J11" s="60"/>
      <c r="L11" s="56"/>
      <c r="M11" s="66"/>
      <c r="N11" s="56"/>
      <c r="O11" s="54"/>
      <c r="P11" s="58"/>
      <c r="Q11" s="58"/>
      <c r="R11" s="73"/>
      <c r="S11" s="60"/>
    </row>
    <row r="12" spans="3:19" ht="13.5" customHeight="1" x14ac:dyDescent="0.2">
      <c r="C12" s="55"/>
      <c r="D12" s="55"/>
      <c r="E12" s="55"/>
      <c r="F12" s="55"/>
      <c r="G12" s="55"/>
      <c r="H12" s="55"/>
      <c r="I12" s="55"/>
      <c r="J12" s="35"/>
      <c r="L12" s="55"/>
      <c r="M12" s="55"/>
      <c r="N12" s="55"/>
      <c r="O12" s="55"/>
      <c r="P12" s="55"/>
      <c r="Q12" s="55"/>
      <c r="R12" s="72" t="str">
        <f t="shared" ref="R12:R42" si="0">IF(L12="","",(100-$N12)/100*$I$43+$N12/100*$Q12)</f>
        <v/>
      </c>
      <c r="S12" s="35"/>
    </row>
    <row r="13" spans="3:19" ht="13.5" customHeight="1" x14ac:dyDescent="0.2">
      <c r="C13" s="55"/>
      <c r="D13" s="55"/>
      <c r="E13" s="55"/>
      <c r="F13" s="55"/>
      <c r="G13" s="55"/>
      <c r="H13" s="55"/>
      <c r="I13" s="55"/>
      <c r="J13" s="35"/>
      <c r="L13" s="55"/>
      <c r="M13" s="55"/>
      <c r="N13" s="55"/>
      <c r="O13" s="55"/>
      <c r="P13" s="55"/>
      <c r="Q13" s="55"/>
      <c r="R13" s="72" t="str">
        <f t="shared" si="0"/>
        <v/>
      </c>
      <c r="S13" s="35"/>
    </row>
    <row r="14" spans="3:19" ht="13.5" customHeight="1" x14ac:dyDescent="0.2">
      <c r="C14" s="55"/>
      <c r="D14" s="55"/>
      <c r="E14" s="55"/>
      <c r="F14" s="55"/>
      <c r="G14" s="55"/>
      <c r="H14" s="55"/>
      <c r="I14" s="55"/>
      <c r="J14" s="35"/>
      <c r="L14" s="55"/>
      <c r="M14" s="55"/>
      <c r="N14" s="55"/>
      <c r="O14" s="55"/>
      <c r="P14" s="55"/>
      <c r="Q14" s="55"/>
      <c r="R14" s="72" t="str">
        <f t="shared" si="0"/>
        <v/>
      </c>
      <c r="S14" s="35"/>
    </row>
    <row r="15" spans="3:19" ht="13.5" customHeight="1" x14ac:dyDescent="0.2">
      <c r="C15" s="55"/>
      <c r="D15" s="55"/>
      <c r="E15" s="55"/>
      <c r="F15" s="55"/>
      <c r="G15" s="55"/>
      <c r="H15" s="55"/>
      <c r="I15" s="55"/>
      <c r="J15" s="35"/>
      <c r="L15" s="55"/>
      <c r="M15" s="55"/>
      <c r="N15" s="55"/>
      <c r="O15" s="55"/>
      <c r="P15" s="55"/>
      <c r="Q15" s="55"/>
      <c r="R15" s="72" t="str">
        <f t="shared" si="0"/>
        <v/>
      </c>
      <c r="S15" s="35"/>
    </row>
    <row r="16" spans="3:19" ht="13.5" customHeight="1" x14ac:dyDescent="0.2">
      <c r="C16" s="55"/>
      <c r="D16" s="55"/>
      <c r="E16" s="55"/>
      <c r="F16" s="55"/>
      <c r="G16" s="55"/>
      <c r="H16" s="55"/>
      <c r="I16" s="55"/>
      <c r="J16" s="35"/>
      <c r="L16" s="55"/>
      <c r="M16" s="55"/>
      <c r="N16" s="55"/>
      <c r="O16" s="55"/>
      <c r="P16" s="55"/>
      <c r="Q16" s="55"/>
      <c r="R16" s="72" t="str">
        <f t="shared" si="0"/>
        <v/>
      </c>
      <c r="S16" s="35"/>
    </row>
    <row r="17" spans="3:19" ht="13.5" customHeight="1" x14ac:dyDescent="0.2">
      <c r="C17" s="55"/>
      <c r="D17" s="55"/>
      <c r="E17" s="55"/>
      <c r="F17" s="55"/>
      <c r="G17" s="55"/>
      <c r="H17" s="55"/>
      <c r="I17" s="55"/>
      <c r="J17" s="35"/>
      <c r="L17" s="55"/>
      <c r="M17" s="55"/>
      <c r="N17" s="55"/>
      <c r="O17" s="55"/>
      <c r="P17" s="55"/>
      <c r="Q17" s="55"/>
      <c r="R17" s="72" t="str">
        <f t="shared" si="0"/>
        <v/>
      </c>
      <c r="S17" s="35"/>
    </row>
    <row r="18" spans="3:19" ht="13.5" customHeight="1" x14ac:dyDescent="0.2">
      <c r="C18" s="55"/>
      <c r="D18" s="55"/>
      <c r="E18" s="55"/>
      <c r="F18" s="55"/>
      <c r="G18" s="55"/>
      <c r="H18" s="55"/>
      <c r="I18" s="55"/>
      <c r="J18" s="35"/>
      <c r="L18" s="55"/>
      <c r="M18" s="55"/>
      <c r="N18" s="55"/>
      <c r="O18" s="55"/>
      <c r="P18" s="55"/>
      <c r="Q18" s="55"/>
      <c r="R18" s="72" t="str">
        <f t="shared" si="0"/>
        <v/>
      </c>
      <c r="S18" s="35"/>
    </row>
    <row r="19" spans="3:19" ht="13.5" customHeight="1" x14ac:dyDescent="0.2">
      <c r="C19" s="55"/>
      <c r="D19" s="55"/>
      <c r="E19" s="55"/>
      <c r="F19" s="55"/>
      <c r="G19" s="55"/>
      <c r="H19" s="55"/>
      <c r="I19" s="55"/>
      <c r="J19" s="35"/>
      <c r="L19" s="55"/>
      <c r="M19" s="55"/>
      <c r="N19" s="55"/>
      <c r="O19" s="55"/>
      <c r="P19" s="55"/>
      <c r="Q19" s="55"/>
      <c r="R19" s="72" t="str">
        <f t="shared" si="0"/>
        <v/>
      </c>
      <c r="S19" s="35"/>
    </row>
    <row r="20" spans="3:19" ht="13.5" customHeight="1" x14ac:dyDescent="0.2">
      <c r="C20" s="55"/>
      <c r="D20" s="55"/>
      <c r="E20" s="55"/>
      <c r="F20" s="55"/>
      <c r="G20" s="55"/>
      <c r="H20" s="55"/>
      <c r="I20" s="55"/>
      <c r="J20" s="35"/>
      <c r="L20" s="55"/>
      <c r="M20" s="55"/>
      <c r="N20" s="55"/>
      <c r="O20" s="55"/>
      <c r="P20" s="55"/>
      <c r="Q20" s="55"/>
      <c r="R20" s="72" t="str">
        <f t="shared" si="0"/>
        <v/>
      </c>
      <c r="S20" s="35"/>
    </row>
    <row r="21" spans="3:19" ht="13.5" customHeight="1" x14ac:dyDescent="0.2">
      <c r="C21" s="55"/>
      <c r="D21" s="55"/>
      <c r="E21" s="55"/>
      <c r="F21" s="55"/>
      <c r="G21" s="55"/>
      <c r="H21" s="55"/>
      <c r="I21" s="55"/>
      <c r="J21" s="35"/>
      <c r="L21" s="55"/>
      <c r="M21" s="55"/>
      <c r="N21" s="55"/>
      <c r="O21" s="55"/>
      <c r="P21" s="55"/>
      <c r="Q21" s="55"/>
      <c r="R21" s="72" t="str">
        <f t="shared" si="0"/>
        <v/>
      </c>
      <c r="S21" s="35"/>
    </row>
    <row r="22" spans="3:19" ht="13.5" customHeight="1" x14ac:dyDescent="0.2">
      <c r="C22" s="55"/>
      <c r="D22" s="55"/>
      <c r="E22" s="55"/>
      <c r="F22" s="55"/>
      <c r="G22" s="55"/>
      <c r="H22" s="55"/>
      <c r="I22" s="55"/>
      <c r="J22" s="35"/>
      <c r="L22" s="55"/>
      <c r="M22" s="55"/>
      <c r="N22" s="55"/>
      <c r="O22" s="55"/>
      <c r="P22" s="55"/>
      <c r="Q22" s="55"/>
      <c r="R22" s="72" t="str">
        <f t="shared" si="0"/>
        <v/>
      </c>
      <c r="S22" s="35"/>
    </row>
    <row r="23" spans="3:19" ht="13.5" customHeight="1" x14ac:dyDescent="0.2">
      <c r="C23" s="55"/>
      <c r="D23" s="55"/>
      <c r="E23" s="55"/>
      <c r="F23" s="55"/>
      <c r="G23" s="55"/>
      <c r="H23" s="55"/>
      <c r="I23" s="55"/>
      <c r="J23" s="35"/>
      <c r="L23" s="55"/>
      <c r="M23" s="55"/>
      <c r="N23" s="55"/>
      <c r="O23" s="55"/>
      <c r="P23" s="55"/>
      <c r="Q23" s="55"/>
      <c r="R23" s="72" t="str">
        <f t="shared" si="0"/>
        <v/>
      </c>
      <c r="S23" s="35"/>
    </row>
    <row r="24" spans="3:19" ht="13.5" customHeight="1" x14ac:dyDescent="0.2">
      <c r="C24" s="55"/>
      <c r="D24" s="55"/>
      <c r="E24" s="55"/>
      <c r="F24" s="55"/>
      <c r="G24" s="55"/>
      <c r="H24" s="55"/>
      <c r="I24" s="55"/>
      <c r="J24" s="35"/>
      <c r="L24" s="55"/>
      <c r="M24" s="55"/>
      <c r="N24" s="55"/>
      <c r="O24" s="55"/>
      <c r="P24" s="55"/>
      <c r="Q24" s="55"/>
      <c r="R24" s="72" t="str">
        <f t="shared" si="0"/>
        <v/>
      </c>
      <c r="S24" s="35"/>
    </row>
    <row r="25" spans="3:19" ht="13.5" customHeight="1" x14ac:dyDescent="0.2">
      <c r="C25" s="55"/>
      <c r="D25" s="55"/>
      <c r="E25" s="55"/>
      <c r="F25" s="55"/>
      <c r="G25" s="55"/>
      <c r="H25" s="55"/>
      <c r="I25" s="55"/>
      <c r="J25" s="35"/>
      <c r="L25" s="55"/>
      <c r="M25" s="55"/>
      <c r="N25" s="55"/>
      <c r="O25" s="55"/>
      <c r="P25" s="55"/>
      <c r="Q25" s="55"/>
      <c r="R25" s="72" t="str">
        <f t="shared" si="0"/>
        <v/>
      </c>
      <c r="S25" s="35"/>
    </row>
    <row r="26" spans="3:19" ht="13.5" customHeight="1" x14ac:dyDescent="0.2">
      <c r="C26" s="55"/>
      <c r="D26" s="55"/>
      <c r="E26" s="55"/>
      <c r="F26" s="55"/>
      <c r="G26" s="55"/>
      <c r="H26" s="55"/>
      <c r="I26" s="55"/>
      <c r="J26" s="35"/>
      <c r="L26" s="55"/>
      <c r="M26" s="55"/>
      <c r="N26" s="55"/>
      <c r="O26" s="55"/>
      <c r="P26" s="55"/>
      <c r="Q26" s="55"/>
      <c r="R26" s="72" t="str">
        <f t="shared" si="0"/>
        <v/>
      </c>
      <c r="S26" s="35"/>
    </row>
    <row r="27" spans="3:19" ht="13.5" customHeight="1" x14ac:dyDescent="0.2">
      <c r="C27" s="55"/>
      <c r="D27" s="55"/>
      <c r="E27" s="55"/>
      <c r="F27" s="55"/>
      <c r="G27" s="55"/>
      <c r="H27" s="55"/>
      <c r="I27" s="55"/>
      <c r="J27" s="35"/>
      <c r="L27" s="55"/>
      <c r="M27" s="55"/>
      <c r="N27" s="55"/>
      <c r="O27" s="55"/>
      <c r="P27" s="55"/>
      <c r="Q27" s="55"/>
      <c r="R27" s="72" t="str">
        <f t="shared" si="0"/>
        <v/>
      </c>
      <c r="S27" s="35"/>
    </row>
    <row r="28" spans="3:19" ht="13.5" customHeight="1" x14ac:dyDescent="0.2">
      <c r="C28" s="55"/>
      <c r="D28" s="55"/>
      <c r="E28" s="55"/>
      <c r="F28" s="55"/>
      <c r="G28" s="55"/>
      <c r="H28" s="55"/>
      <c r="I28" s="55"/>
      <c r="J28" s="35"/>
      <c r="L28" s="55"/>
      <c r="M28" s="55"/>
      <c r="N28" s="55"/>
      <c r="O28" s="55"/>
      <c r="P28" s="55"/>
      <c r="Q28" s="55"/>
      <c r="R28" s="72" t="str">
        <f t="shared" si="0"/>
        <v/>
      </c>
      <c r="S28" s="35"/>
    </row>
    <row r="29" spans="3:19" ht="13.5" customHeight="1" x14ac:dyDescent="0.2">
      <c r="C29" s="55"/>
      <c r="D29" s="55"/>
      <c r="E29" s="55"/>
      <c r="F29" s="55"/>
      <c r="G29" s="55"/>
      <c r="H29" s="55"/>
      <c r="I29" s="55"/>
      <c r="J29" s="35"/>
      <c r="L29" s="55"/>
      <c r="M29" s="55"/>
      <c r="N29" s="55"/>
      <c r="O29" s="55"/>
      <c r="P29" s="55"/>
      <c r="Q29" s="55"/>
      <c r="R29" s="72" t="str">
        <f t="shared" si="0"/>
        <v/>
      </c>
      <c r="S29" s="35"/>
    </row>
    <row r="30" spans="3:19" ht="13.5" customHeight="1" x14ac:dyDescent="0.2">
      <c r="C30" s="55"/>
      <c r="D30" s="55"/>
      <c r="E30" s="55"/>
      <c r="F30" s="55"/>
      <c r="G30" s="55"/>
      <c r="H30" s="55"/>
      <c r="I30" s="55"/>
      <c r="J30" s="35"/>
      <c r="L30" s="55"/>
      <c r="M30" s="55"/>
      <c r="N30" s="55"/>
      <c r="O30" s="55"/>
      <c r="P30" s="55"/>
      <c r="Q30" s="55"/>
      <c r="R30" s="72" t="str">
        <f t="shared" si="0"/>
        <v/>
      </c>
      <c r="S30" s="35"/>
    </row>
    <row r="31" spans="3:19" ht="13.5" customHeight="1" x14ac:dyDescent="0.2">
      <c r="C31" s="55"/>
      <c r="D31" s="55"/>
      <c r="E31" s="55"/>
      <c r="F31" s="55"/>
      <c r="G31" s="55"/>
      <c r="H31" s="55"/>
      <c r="I31" s="55"/>
      <c r="J31" s="35"/>
      <c r="L31" s="55"/>
      <c r="M31" s="55"/>
      <c r="N31" s="55"/>
      <c r="O31" s="55"/>
      <c r="P31" s="55"/>
      <c r="Q31" s="55"/>
      <c r="R31" s="72" t="str">
        <f t="shared" si="0"/>
        <v/>
      </c>
      <c r="S31" s="35"/>
    </row>
    <row r="32" spans="3:19" ht="13.5" customHeight="1" x14ac:dyDescent="0.2">
      <c r="C32" s="55"/>
      <c r="D32" s="55"/>
      <c r="E32" s="55"/>
      <c r="F32" s="55"/>
      <c r="G32" s="55"/>
      <c r="H32" s="55"/>
      <c r="I32" s="55"/>
      <c r="J32" s="35"/>
      <c r="L32" s="55"/>
      <c r="M32" s="55"/>
      <c r="N32" s="55"/>
      <c r="O32" s="55"/>
      <c r="P32" s="55"/>
      <c r="Q32" s="55"/>
      <c r="R32" s="72" t="str">
        <f t="shared" si="0"/>
        <v/>
      </c>
      <c r="S32" s="35"/>
    </row>
    <row r="33" spans="3:19" ht="13.5" customHeight="1" x14ac:dyDescent="0.2">
      <c r="C33" s="55"/>
      <c r="D33" s="55"/>
      <c r="E33" s="55"/>
      <c r="F33" s="55"/>
      <c r="G33" s="55"/>
      <c r="H33" s="55"/>
      <c r="I33" s="55"/>
      <c r="J33" s="35"/>
      <c r="L33" s="55"/>
      <c r="M33" s="55"/>
      <c r="N33" s="55"/>
      <c r="O33" s="55"/>
      <c r="P33" s="55"/>
      <c r="Q33" s="55"/>
      <c r="R33" s="72" t="str">
        <f t="shared" si="0"/>
        <v/>
      </c>
      <c r="S33" s="35"/>
    </row>
    <row r="34" spans="3:19" ht="13.5" customHeight="1" x14ac:dyDescent="0.2">
      <c r="C34" s="55"/>
      <c r="D34" s="55"/>
      <c r="E34" s="55"/>
      <c r="F34" s="55"/>
      <c r="G34" s="55"/>
      <c r="H34" s="55"/>
      <c r="I34" s="55"/>
      <c r="J34" s="35"/>
      <c r="L34" s="55"/>
      <c r="M34" s="55"/>
      <c r="N34" s="55"/>
      <c r="O34" s="55"/>
      <c r="P34" s="55"/>
      <c r="Q34" s="55"/>
      <c r="R34" s="72" t="str">
        <f t="shared" si="0"/>
        <v/>
      </c>
      <c r="S34" s="35"/>
    </row>
    <row r="35" spans="3:19" ht="13.5" customHeight="1" x14ac:dyDescent="0.2">
      <c r="C35" s="55"/>
      <c r="D35" s="55"/>
      <c r="E35" s="55"/>
      <c r="F35" s="55"/>
      <c r="G35" s="55"/>
      <c r="H35" s="55"/>
      <c r="I35" s="55"/>
      <c r="J35" s="35"/>
      <c r="L35" s="55"/>
      <c r="M35" s="55"/>
      <c r="N35" s="55"/>
      <c r="O35" s="55"/>
      <c r="P35" s="55"/>
      <c r="Q35" s="55"/>
      <c r="R35" s="72" t="str">
        <f t="shared" si="0"/>
        <v/>
      </c>
      <c r="S35" s="35"/>
    </row>
    <row r="36" spans="3:19" ht="13.5" customHeight="1" x14ac:dyDescent="0.2">
      <c r="C36" s="55"/>
      <c r="D36" s="55"/>
      <c r="E36" s="55"/>
      <c r="F36" s="55"/>
      <c r="G36" s="55"/>
      <c r="H36" s="55"/>
      <c r="I36" s="55"/>
      <c r="J36" s="35"/>
      <c r="L36" s="55"/>
      <c r="M36" s="55"/>
      <c r="N36" s="55"/>
      <c r="O36" s="55"/>
      <c r="P36" s="55"/>
      <c r="Q36" s="55"/>
      <c r="R36" s="72" t="str">
        <f t="shared" si="0"/>
        <v/>
      </c>
      <c r="S36" s="35"/>
    </row>
    <row r="37" spans="3:19" ht="13.5" customHeight="1" x14ac:dyDescent="0.2">
      <c r="C37" s="55"/>
      <c r="D37" s="55"/>
      <c r="E37" s="55"/>
      <c r="F37" s="55"/>
      <c r="G37" s="55"/>
      <c r="H37" s="55"/>
      <c r="I37" s="55"/>
      <c r="J37" s="35"/>
      <c r="L37" s="55"/>
      <c r="M37" s="55"/>
      <c r="N37" s="55"/>
      <c r="O37" s="55"/>
      <c r="P37" s="55"/>
      <c r="Q37" s="55"/>
      <c r="R37" s="72" t="str">
        <f t="shared" si="0"/>
        <v/>
      </c>
      <c r="S37" s="35"/>
    </row>
    <row r="38" spans="3:19" ht="13.5" customHeight="1" x14ac:dyDescent="0.2">
      <c r="C38" s="55"/>
      <c r="D38" s="55"/>
      <c r="E38" s="55"/>
      <c r="F38" s="55"/>
      <c r="G38" s="55"/>
      <c r="H38" s="55"/>
      <c r="I38" s="55"/>
      <c r="J38" s="35"/>
      <c r="L38" s="55"/>
      <c r="M38" s="55"/>
      <c r="N38" s="55"/>
      <c r="O38" s="55"/>
      <c r="P38" s="55"/>
      <c r="Q38" s="55"/>
      <c r="R38" s="72" t="str">
        <f t="shared" si="0"/>
        <v/>
      </c>
      <c r="S38" s="35"/>
    </row>
    <row r="39" spans="3:19" ht="13.5" customHeight="1" x14ac:dyDescent="0.2">
      <c r="C39" s="55"/>
      <c r="D39" s="55"/>
      <c r="E39" s="55"/>
      <c r="F39" s="55"/>
      <c r="G39" s="55"/>
      <c r="H39" s="55"/>
      <c r="I39" s="55"/>
      <c r="J39" s="35"/>
      <c r="L39" s="55"/>
      <c r="M39" s="55"/>
      <c r="N39" s="55"/>
      <c r="O39" s="55"/>
      <c r="P39" s="55"/>
      <c r="Q39" s="55"/>
      <c r="R39" s="72" t="str">
        <f t="shared" si="0"/>
        <v/>
      </c>
      <c r="S39" s="35"/>
    </row>
    <row r="40" spans="3:19" ht="13.5" customHeight="1" x14ac:dyDescent="0.2">
      <c r="C40" s="55"/>
      <c r="D40" s="55"/>
      <c r="E40" s="55"/>
      <c r="F40" s="55"/>
      <c r="G40" s="55"/>
      <c r="H40" s="55"/>
      <c r="I40" s="55"/>
      <c r="J40" s="35"/>
      <c r="L40" s="55"/>
      <c r="M40" s="55"/>
      <c r="N40" s="55"/>
      <c r="O40" s="55"/>
      <c r="P40" s="55"/>
      <c r="Q40" s="55"/>
      <c r="R40" s="72" t="str">
        <f t="shared" si="0"/>
        <v/>
      </c>
      <c r="S40" s="35"/>
    </row>
    <row r="41" spans="3:19" ht="13.5" customHeight="1" x14ac:dyDescent="0.2">
      <c r="C41" s="55"/>
      <c r="D41" s="55"/>
      <c r="E41" s="55"/>
      <c r="F41" s="55"/>
      <c r="G41" s="55"/>
      <c r="H41" s="55"/>
      <c r="I41" s="55"/>
      <c r="J41" s="35"/>
      <c r="L41" s="55"/>
      <c r="M41" s="55"/>
      <c r="N41" s="55"/>
      <c r="O41" s="55"/>
      <c r="P41" s="55"/>
      <c r="Q41" s="55"/>
      <c r="R41" s="72" t="str">
        <f t="shared" si="0"/>
        <v/>
      </c>
      <c r="S41" s="35"/>
    </row>
    <row r="42" spans="3:19" ht="13.5" customHeight="1" x14ac:dyDescent="0.2">
      <c r="C42" s="55"/>
      <c r="D42" s="55"/>
      <c r="E42" s="55"/>
      <c r="F42" s="55"/>
      <c r="G42" s="55"/>
      <c r="H42" s="55"/>
      <c r="I42" s="55"/>
      <c r="J42" s="35"/>
      <c r="L42" s="55"/>
      <c r="M42" s="55"/>
      <c r="N42" s="55"/>
      <c r="O42" s="55"/>
      <c r="P42" s="55"/>
      <c r="Q42" s="55"/>
      <c r="R42" s="72" t="str">
        <f t="shared" si="0"/>
        <v/>
      </c>
      <c r="S42" s="35"/>
    </row>
    <row r="43" spans="3:19" ht="13.5" customHeight="1" x14ac:dyDescent="0.2">
      <c r="C43" s="39" t="str">
        <f>VLOOKUP("#0119",translation,code,FALSE)</f>
        <v>Summe</v>
      </c>
      <c r="D43" s="39"/>
      <c r="E43" s="39"/>
      <c r="F43" s="57">
        <f>SUM(F12:F42)</f>
        <v>0</v>
      </c>
      <c r="G43" s="39"/>
      <c r="H43" s="39"/>
      <c r="I43" s="72">
        <f>SUM(I12:I42)</f>
        <v>0</v>
      </c>
      <c r="J43" s="35"/>
      <c r="L43" s="39"/>
      <c r="M43" s="39"/>
      <c r="P43" s="39"/>
      <c r="Q43" s="39"/>
      <c r="R43" s="39"/>
      <c r="S43" s="35"/>
    </row>
    <row r="44" spans="3:19" ht="13.5" customHeight="1" x14ac:dyDescent="0.2">
      <c r="G44" s="1"/>
      <c r="H44" s="1"/>
      <c r="I44" s="1"/>
    </row>
    <row r="45" spans="3:19" ht="13.5" customHeight="1" x14ac:dyDescent="0.2">
      <c r="G45" s="1"/>
      <c r="H45" s="1"/>
      <c r="I45" s="1"/>
    </row>
  </sheetData>
  <sheetProtection algorithmName="SHA-512" hashValue="LDDVdrR4kk2WnCAKb2GHsj7cmhQ6ca0GpHDlA0GXYwbW9PT4wKohPWhO7p4+qdi8r66DNpcxumLXk3B7KmPjXA==" saltValue="Yp2IhJmqt5kMdcAL72GNyw==" spinCount="100000" sheet="1" objects="1" scenarios="1" selectLockedCells="1"/>
  <conditionalFormatting sqref="F43">
    <cfRule type="cellIs" dxfId="67" priority="40" operator="greaterThan">
      <formula>100</formula>
    </cfRule>
    <cfRule type="cellIs" dxfId="66" priority="41" operator="equal">
      <formula>100</formula>
    </cfRule>
    <cfRule type="cellIs" dxfId="65" priority="42" operator="lessThan">
      <formula>100</formula>
    </cfRule>
  </conditionalFormatting>
  <conditionalFormatting sqref="I43">
    <cfRule type="cellIs" dxfId="64" priority="6" operator="greaterThan">
      <formula>1.5</formula>
    </cfRule>
    <cfRule type="cellIs" dxfId="63" priority="7" operator="lessThanOrEqual">
      <formula>1.5</formula>
    </cfRule>
  </conditionalFormatting>
  <conditionalFormatting sqref="J10:J11">
    <cfRule type="cellIs" dxfId="62" priority="48" operator="equal">
      <formula>"a"</formula>
    </cfRule>
  </conditionalFormatting>
  <conditionalFormatting sqref="J12:J43">
    <cfRule type="cellIs" dxfId="61" priority="16" stopIfTrue="1" operator="equal">
      <formula>"a"</formula>
    </cfRule>
    <cfRule type="cellIs" dxfId="60" priority="17" stopIfTrue="1" operator="equal">
      <formula>"r"</formula>
    </cfRule>
  </conditionalFormatting>
  <conditionalFormatting sqref="R12:R42">
    <cfRule type="cellIs" dxfId="59" priority="3" operator="equal">
      <formula>""</formula>
    </cfRule>
    <cfRule type="cellIs" dxfId="58" priority="4" operator="greaterThan">
      <formula>1.5</formula>
    </cfRule>
    <cfRule type="cellIs" dxfId="57" priority="5" operator="lessThanOrEqual">
      <formula>1.5</formula>
    </cfRule>
  </conditionalFormatting>
  <conditionalFormatting sqref="S10:S11">
    <cfRule type="cellIs" dxfId="56" priority="15" operator="equal">
      <formula>"a"</formula>
    </cfRule>
  </conditionalFormatting>
  <conditionalFormatting sqref="S12:S43">
    <cfRule type="cellIs" dxfId="55" priority="1" stopIfTrue="1" operator="equal">
      <formula>"a"</formula>
    </cfRule>
    <cfRule type="cellIs" dxfId="54" priority="2" stopIfTrue="1" operator="equal">
      <formula>"r"</formula>
    </cfRule>
  </conditionalFormatting>
  <dataValidations count="1">
    <dataValidation type="list" allowBlank="1" showInputMessage="1" showErrorMessage="1" sqref="G12:H42 O12:P42 M6 G6" xr:uid="{667F5B80-A931-456F-8DF5-8F878CD7B2D3}">
      <formula1>Jain</formula1>
    </dataValidation>
  </dataValidations>
  <pageMargins left="0.78740157480314965" right="0.78740157480314965" top="0.98425196850393704" bottom="0.98425196850393704" header="0.51181102362204722" footer="0.51181102362204722"/>
  <pageSetup paperSize="9" scale="70" fitToWidth="2" orientation="landscape" r:id="rId1"/>
  <headerFooter alignWithMargins="0"/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5C20D-7944-47A9-A902-17F61C06525A}">
  <dimension ref="C2:S45"/>
  <sheetViews>
    <sheetView zoomScaleNormal="100" workbookViewId="0">
      <selection activeCell="D4" sqref="D4"/>
    </sheetView>
  </sheetViews>
  <sheetFormatPr baseColWidth="10" defaultRowHeight="13.5" customHeight="1" x14ac:dyDescent="0.2"/>
  <cols>
    <col min="1" max="2" width="2.5703125" style="5" customWidth="1"/>
    <col min="3" max="3" width="29.140625" style="5" customWidth="1"/>
    <col min="4" max="4" width="43.42578125" style="5" customWidth="1"/>
    <col min="5" max="5" width="28.5703125" style="5" customWidth="1"/>
    <col min="6" max="9" width="14.140625" style="5" customWidth="1"/>
    <col min="10" max="11" width="2.5703125" style="5" customWidth="1"/>
    <col min="12" max="12" width="43.42578125" style="5" bestFit="1" customWidth="1"/>
    <col min="13" max="13" width="28.5703125" style="5" customWidth="1"/>
    <col min="14" max="14" width="18.7109375" style="5" customWidth="1"/>
    <col min="15" max="15" width="11.42578125" style="5"/>
    <col min="16" max="16" width="16.28515625" style="5" customWidth="1"/>
    <col min="17" max="18" width="11.42578125" style="5"/>
    <col min="19" max="19" width="2.5703125" style="5" customWidth="1"/>
    <col min="20" max="16384" width="11.42578125" style="5"/>
  </cols>
  <sheetData>
    <row r="2" spans="3:19" ht="13.5" customHeight="1" x14ac:dyDescent="0.2">
      <c r="C2" s="4" t="str">
        <f>VLOOKUP("#0132",translation,code,FALSE)</f>
        <v>Rezeptur 2</v>
      </c>
      <c r="I2" s="42" t="str">
        <f>VLOOKUP("#0129",translation,code,FALSE)</f>
        <v>Seite 1/2</v>
      </c>
      <c r="L2" s="4" t="str">
        <f>VLOOKUP("#0135",translation,code,FALSE)</f>
        <v>Mischsystem mit Basis 2</v>
      </c>
      <c r="R2" s="42" t="str">
        <f>VLOOKUP("#0130",translation,code,FALSE)</f>
        <v>Seite 2/2</v>
      </c>
    </row>
    <row r="4" spans="3:19" ht="13.5" customHeight="1" x14ac:dyDescent="0.2">
      <c r="C4" s="5" t="str">
        <f>VLOOKUP("#0015",translation,code,FALSE)</f>
        <v>Handelsname der Produkts:</v>
      </c>
      <c r="D4" s="55"/>
      <c r="L4" s="5" t="str">
        <f>VLOOKUP("#0055",translation,code,FALSE)</f>
        <v>wenn zutreffend</v>
      </c>
    </row>
    <row r="5" spans="3:19" ht="12.75" x14ac:dyDescent="0.2"/>
    <row r="6" spans="3:19" ht="13.5" customHeight="1" x14ac:dyDescent="0.2">
      <c r="C6" s="5" t="str">
        <f>VLOOKUP("#0039",translation,code,FALSE)</f>
        <v>Farbton:</v>
      </c>
      <c r="D6" s="55"/>
      <c r="F6" s="63" t="str">
        <f>VLOOKUP("#0040",translation,code,FALSE)</f>
        <v>als Basis für ein Mischsystem verwendet</v>
      </c>
      <c r="G6" s="55"/>
      <c r="H6" s="74" t="str">
        <f>IF(OR(G6="Ja",G6="Yes"),"ª","")</f>
        <v/>
      </c>
      <c r="I6" s="4" t="str">
        <f>IF(OR(G6="Ja",G6="Yes"),VLOOKUP("#0042",translation,code,FALSE),"")</f>
        <v/>
      </c>
      <c r="L6" s="5" t="str">
        <f>VLOOKUP("#0058",translation,code,FALSE)</f>
        <v>Die Basis wird separat verkauft.</v>
      </c>
      <c r="M6" s="55"/>
    </row>
    <row r="7" spans="3:19" ht="13.5" customHeight="1" x14ac:dyDescent="0.2">
      <c r="C7" s="5" t="str">
        <f>VLOOKUP("#0037",translation,code,FALSE)</f>
        <v>Spezifische Dichte [g/ml]:</v>
      </c>
      <c r="D7" s="55"/>
    </row>
    <row r="8" spans="3:19" ht="13.5" customHeight="1" x14ac:dyDescent="0.2">
      <c r="C8" s="5" t="str">
        <f>VLOOKUP("#0038",translation,code,FALSE)</f>
        <v>nichtflüchtiger Anteil:</v>
      </c>
      <c r="D8" s="55"/>
    </row>
    <row r="10" spans="3:19" ht="51" x14ac:dyDescent="0.2">
      <c r="C10" s="67" t="str">
        <f>VLOOKUP("#0031",translation,code,FALSE)</f>
        <v>Funktion</v>
      </c>
      <c r="D10" s="67" t="str">
        <f>VLOOKUP("#0032",translation,code,FALSE)</f>
        <v>Substanz-/Handelsname
(wie im Sicherheitsdatenblatt
angegeben oder IUPAC Name)</v>
      </c>
      <c r="E10" s="67" t="str">
        <f>VLOOKUP("#0033",translation,code,FALSE)</f>
        <v>Hersteller / Lieferant</v>
      </c>
      <c r="F10" s="67" t="str">
        <f>VLOOKUP("#0034",translation,code,FALSE)</f>
        <v>Einsatz-
menge
[Gew.-%]</v>
      </c>
      <c r="G10" s="67" t="str">
        <f>VLOOKUP("#0035",translation,code,FALSE)</f>
        <v>SDS
beige-
fügt?</v>
      </c>
      <c r="H10" s="67" t="str">
        <f>VLOOKUP("#0036",translation,code,FALSE)</f>
        <v>Chemikalien-
erklärung
beigefügt?</v>
      </c>
      <c r="I10" s="67" t="str">
        <f>VLOOKUP("#0046",translation,code,FALSE)</f>
        <v>VOC
[Gew.-%]</v>
      </c>
      <c r="J10" s="59"/>
      <c r="L10" s="67" t="str">
        <f>VLOOKUP("#0044",translation,code,FALSE)</f>
        <v>Substanz-/Handelsname der
Farbpaste/des Pigments
(wie im Sicherheitsdatenblatt
angegeben oder IUPAC Name)</v>
      </c>
      <c r="M10" s="67" t="str">
        <f>VLOOKUP("#0033",translation,code,FALSE)</f>
        <v>Hersteller / Lieferant</v>
      </c>
      <c r="N10" s="67" t="str">
        <f>VLOOKUP("#0045",translation,code,FALSE)</f>
        <v>Einsatzmenge in
der fertigen Farbe
[Gew.-%]</v>
      </c>
      <c r="O10" s="67" t="str">
        <f>VLOOKUP("#0035",translation,code,FALSE)</f>
        <v>SDS
beige-
fügt?</v>
      </c>
      <c r="P10" s="67" t="str">
        <f>VLOOKUP("#0036",translation,code,FALSE)</f>
        <v>Chemikalien-
erklärung
beigefügt?</v>
      </c>
      <c r="Q10" s="67" t="str">
        <f>VLOOKUP("#0046",translation,code,FALSE)</f>
        <v>VOC
[Gew.-%]</v>
      </c>
      <c r="R10" s="67" t="str">
        <f>VLOOKUP("#0051",translation,code,FALSE)</f>
        <v>VOC
mit Basis
[Gew.-%]</v>
      </c>
      <c r="S10" s="59"/>
    </row>
    <row r="11" spans="3:19" ht="13.5" customHeight="1" x14ac:dyDescent="0.2">
      <c r="C11" s="58"/>
      <c r="D11" s="56"/>
      <c r="E11" s="66"/>
      <c r="F11" s="56"/>
      <c r="G11" s="54"/>
      <c r="H11" s="58"/>
      <c r="I11" s="58"/>
      <c r="J11" s="60"/>
      <c r="L11" s="56"/>
      <c r="M11" s="66"/>
      <c r="N11" s="56"/>
      <c r="O11" s="54"/>
      <c r="P11" s="58"/>
      <c r="Q11" s="58"/>
      <c r="R11" s="73"/>
      <c r="S11" s="60"/>
    </row>
    <row r="12" spans="3:19" ht="13.5" customHeight="1" x14ac:dyDescent="0.2">
      <c r="C12" s="55"/>
      <c r="D12" s="55"/>
      <c r="E12" s="55"/>
      <c r="F12" s="55"/>
      <c r="G12" s="55"/>
      <c r="H12" s="55"/>
      <c r="I12" s="55"/>
      <c r="J12" s="35"/>
      <c r="L12" s="55"/>
      <c r="M12" s="55"/>
      <c r="N12" s="55"/>
      <c r="O12" s="55"/>
      <c r="P12" s="55"/>
      <c r="Q12" s="55"/>
      <c r="R12" s="72" t="str">
        <f t="shared" ref="R12:R42" si="0">IF(L12="","",(100-$N12)/100*$I$43+$N12/100*$Q12)</f>
        <v/>
      </c>
      <c r="S12" s="35"/>
    </row>
    <row r="13" spans="3:19" ht="13.5" customHeight="1" x14ac:dyDescent="0.2">
      <c r="C13" s="55"/>
      <c r="D13" s="55"/>
      <c r="E13" s="55"/>
      <c r="F13" s="55"/>
      <c r="G13" s="55"/>
      <c r="H13" s="55"/>
      <c r="I13" s="55"/>
      <c r="J13" s="35"/>
      <c r="L13" s="55"/>
      <c r="M13" s="55"/>
      <c r="N13" s="55"/>
      <c r="O13" s="55"/>
      <c r="P13" s="55"/>
      <c r="Q13" s="55"/>
      <c r="R13" s="72" t="str">
        <f t="shared" si="0"/>
        <v/>
      </c>
      <c r="S13" s="35"/>
    </row>
    <row r="14" spans="3:19" ht="13.5" customHeight="1" x14ac:dyDescent="0.2">
      <c r="C14" s="55"/>
      <c r="D14" s="55"/>
      <c r="E14" s="55"/>
      <c r="F14" s="55"/>
      <c r="G14" s="55"/>
      <c r="H14" s="55"/>
      <c r="I14" s="55"/>
      <c r="J14" s="35"/>
      <c r="L14" s="55"/>
      <c r="M14" s="55"/>
      <c r="N14" s="55"/>
      <c r="O14" s="55"/>
      <c r="P14" s="55"/>
      <c r="Q14" s="55"/>
      <c r="R14" s="72" t="str">
        <f t="shared" si="0"/>
        <v/>
      </c>
      <c r="S14" s="35"/>
    </row>
    <row r="15" spans="3:19" ht="13.5" customHeight="1" x14ac:dyDescent="0.2">
      <c r="C15" s="55"/>
      <c r="D15" s="55"/>
      <c r="E15" s="55"/>
      <c r="F15" s="55"/>
      <c r="G15" s="55"/>
      <c r="H15" s="55"/>
      <c r="I15" s="55"/>
      <c r="J15" s="35"/>
      <c r="L15" s="55"/>
      <c r="M15" s="55"/>
      <c r="N15" s="55"/>
      <c r="O15" s="55"/>
      <c r="P15" s="55"/>
      <c r="Q15" s="55"/>
      <c r="R15" s="72" t="str">
        <f t="shared" si="0"/>
        <v/>
      </c>
      <c r="S15" s="35"/>
    </row>
    <row r="16" spans="3:19" ht="13.5" customHeight="1" x14ac:dyDescent="0.2">
      <c r="C16" s="55"/>
      <c r="D16" s="55"/>
      <c r="E16" s="55"/>
      <c r="F16" s="55"/>
      <c r="G16" s="55"/>
      <c r="H16" s="55"/>
      <c r="I16" s="55"/>
      <c r="J16" s="35"/>
      <c r="L16" s="55"/>
      <c r="M16" s="55"/>
      <c r="N16" s="55"/>
      <c r="O16" s="55"/>
      <c r="P16" s="55"/>
      <c r="Q16" s="55"/>
      <c r="R16" s="72" t="str">
        <f t="shared" si="0"/>
        <v/>
      </c>
      <c r="S16" s="35"/>
    </row>
    <row r="17" spans="3:19" ht="13.5" customHeight="1" x14ac:dyDescent="0.2">
      <c r="C17" s="55"/>
      <c r="D17" s="55"/>
      <c r="E17" s="55"/>
      <c r="F17" s="55"/>
      <c r="G17" s="55"/>
      <c r="H17" s="55"/>
      <c r="I17" s="55"/>
      <c r="J17" s="35"/>
      <c r="L17" s="55"/>
      <c r="M17" s="55"/>
      <c r="N17" s="55"/>
      <c r="O17" s="55"/>
      <c r="P17" s="55"/>
      <c r="Q17" s="55"/>
      <c r="R17" s="72" t="str">
        <f t="shared" si="0"/>
        <v/>
      </c>
      <c r="S17" s="35"/>
    </row>
    <row r="18" spans="3:19" ht="13.5" customHeight="1" x14ac:dyDescent="0.2">
      <c r="C18" s="55"/>
      <c r="D18" s="55"/>
      <c r="E18" s="55"/>
      <c r="F18" s="55"/>
      <c r="G18" s="55"/>
      <c r="H18" s="55"/>
      <c r="I18" s="55"/>
      <c r="J18" s="35"/>
      <c r="L18" s="55"/>
      <c r="M18" s="55"/>
      <c r="N18" s="55"/>
      <c r="O18" s="55"/>
      <c r="P18" s="55"/>
      <c r="Q18" s="55"/>
      <c r="R18" s="72" t="str">
        <f t="shared" si="0"/>
        <v/>
      </c>
      <c r="S18" s="35"/>
    </row>
    <row r="19" spans="3:19" ht="13.5" customHeight="1" x14ac:dyDescent="0.2">
      <c r="C19" s="55"/>
      <c r="D19" s="55"/>
      <c r="E19" s="55"/>
      <c r="F19" s="55"/>
      <c r="G19" s="55"/>
      <c r="H19" s="55"/>
      <c r="I19" s="55"/>
      <c r="J19" s="35"/>
      <c r="L19" s="55"/>
      <c r="M19" s="55"/>
      <c r="N19" s="55"/>
      <c r="O19" s="55"/>
      <c r="P19" s="55"/>
      <c r="Q19" s="55"/>
      <c r="R19" s="72" t="str">
        <f t="shared" si="0"/>
        <v/>
      </c>
      <c r="S19" s="35"/>
    </row>
    <row r="20" spans="3:19" ht="13.5" customHeight="1" x14ac:dyDescent="0.2">
      <c r="C20" s="55"/>
      <c r="D20" s="55"/>
      <c r="E20" s="55"/>
      <c r="F20" s="55"/>
      <c r="G20" s="55"/>
      <c r="H20" s="55"/>
      <c r="I20" s="55"/>
      <c r="J20" s="35"/>
      <c r="L20" s="55"/>
      <c r="M20" s="55"/>
      <c r="N20" s="55"/>
      <c r="O20" s="55"/>
      <c r="P20" s="55"/>
      <c r="Q20" s="55"/>
      <c r="R20" s="72" t="str">
        <f t="shared" si="0"/>
        <v/>
      </c>
      <c r="S20" s="35"/>
    </row>
    <row r="21" spans="3:19" ht="13.5" customHeight="1" x14ac:dyDescent="0.2">
      <c r="C21" s="55"/>
      <c r="D21" s="55"/>
      <c r="E21" s="55"/>
      <c r="F21" s="55"/>
      <c r="G21" s="55"/>
      <c r="H21" s="55"/>
      <c r="I21" s="55"/>
      <c r="J21" s="35"/>
      <c r="L21" s="55"/>
      <c r="M21" s="55"/>
      <c r="N21" s="55"/>
      <c r="O21" s="55"/>
      <c r="P21" s="55"/>
      <c r="Q21" s="55"/>
      <c r="R21" s="72" t="str">
        <f t="shared" si="0"/>
        <v/>
      </c>
      <c r="S21" s="35"/>
    </row>
    <row r="22" spans="3:19" ht="13.5" customHeight="1" x14ac:dyDescent="0.2">
      <c r="C22" s="55"/>
      <c r="D22" s="55"/>
      <c r="E22" s="55"/>
      <c r="F22" s="55"/>
      <c r="G22" s="55"/>
      <c r="H22" s="55"/>
      <c r="I22" s="55"/>
      <c r="J22" s="35"/>
      <c r="L22" s="55"/>
      <c r="M22" s="55"/>
      <c r="N22" s="55"/>
      <c r="O22" s="55"/>
      <c r="P22" s="55"/>
      <c r="Q22" s="55"/>
      <c r="R22" s="72" t="str">
        <f t="shared" si="0"/>
        <v/>
      </c>
      <c r="S22" s="35"/>
    </row>
    <row r="23" spans="3:19" ht="13.5" customHeight="1" x14ac:dyDescent="0.2">
      <c r="C23" s="55"/>
      <c r="D23" s="55"/>
      <c r="E23" s="55"/>
      <c r="F23" s="55"/>
      <c r="G23" s="55"/>
      <c r="H23" s="55"/>
      <c r="I23" s="55"/>
      <c r="J23" s="35"/>
      <c r="L23" s="55"/>
      <c r="M23" s="55"/>
      <c r="N23" s="55"/>
      <c r="O23" s="55"/>
      <c r="P23" s="55"/>
      <c r="Q23" s="55"/>
      <c r="R23" s="72" t="str">
        <f t="shared" si="0"/>
        <v/>
      </c>
      <c r="S23" s="35"/>
    </row>
    <row r="24" spans="3:19" ht="13.5" customHeight="1" x14ac:dyDescent="0.2">
      <c r="C24" s="55"/>
      <c r="D24" s="55"/>
      <c r="E24" s="55"/>
      <c r="F24" s="55"/>
      <c r="G24" s="55"/>
      <c r="H24" s="55"/>
      <c r="I24" s="55"/>
      <c r="J24" s="35"/>
      <c r="L24" s="55"/>
      <c r="M24" s="55"/>
      <c r="N24" s="55"/>
      <c r="O24" s="55"/>
      <c r="P24" s="55"/>
      <c r="Q24" s="55"/>
      <c r="R24" s="72" t="str">
        <f t="shared" si="0"/>
        <v/>
      </c>
      <c r="S24" s="35"/>
    </row>
    <row r="25" spans="3:19" ht="13.5" customHeight="1" x14ac:dyDescent="0.2">
      <c r="C25" s="55"/>
      <c r="D25" s="55"/>
      <c r="E25" s="55"/>
      <c r="F25" s="55"/>
      <c r="G25" s="55"/>
      <c r="H25" s="55"/>
      <c r="I25" s="55"/>
      <c r="J25" s="35"/>
      <c r="L25" s="55"/>
      <c r="M25" s="55"/>
      <c r="N25" s="55"/>
      <c r="O25" s="55"/>
      <c r="P25" s="55"/>
      <c r="Q25" s="55"/>
      <c r="R25" s="72" t="str">
        <f t="shared" si="0"/>
        <v/>
      </c>
      <c r="S25" s="35"/>
    </row>
    <row r="26" spans="3:19" ht="13.5" customHeight="1" x14ac:dyDescent="0.2">
      <c r="C26" s="55"/>
      <c r="D26" s="55"/>
      <c r="E26" s="55"/>
      <c r="F26" s="55"/>
      <c r="G26" s="55"/>
      <c r="H26" s="55"/>
      <c r="I26" s="55"/>
      <c r="J26" s="35"/>
      <c r="L26" s="55"/>
      <c r="M26" s="55"/>
      <c r="N26" s="55"/>
      <c r="O26" s="55"/>
      <c r="P26" s="55"/>
      <c r="Q26" s="55"/>
      <c r="R26" s="72" t="str">
        <f t="shared" si="0"/>
        <v/>
      </c>
      <c r="S26" s="35"/>
    </row>
    <row r="27" spans="3:19" ht="13.5" customHeight="1" x14ac:dyDescent="0.2">
      <c r="C27" s="55"/>
      <c r="D27" s="55"/>
      <c r="E27" s="55"/>
      <c r="F27" s="55"/>
      <c r="G27" s="55"/>
      <c r="H27" s="55"/>
      <c r="I27" s="55"/>
      <c r="J27" s="35"/>
      <c r="L27" s="55"/>
      <c r="M27" s="55"/>
      <c r="N27" s="55"/>
      <c r="O27" s="55"/>
      <c r="P27" s="55"/>
      <c r="Q27" s="55"/>
      <c r="R27" s="72" t="str">
        <f t="shared" si="0"/>
        <v/>
      </c>
      <c r="S27" s="35"/>
    </row>
    <row r="28" spans="3:19" ht="13.5" customHeight="1" x14ac:dyDescent="0.2">
      <c r="C28" s="55"/>
      <c r="D28" s="55"/>
      <c r="E28" s="55"/>
      <c r="F28" s="55"/>
      <c r="G28" s="55"/>
      <c r="H28" s="55"/>
      <c r="I28" s="55"/>
      <c r="J28" s="35"/>
      <c r="L28" s="55"/>
      <c r="M28" s="55"/>
      <c r="N28" s="55"/>
      <c r="O28" s="55"/>
      <c r="P28" s="55"/>
      <c r="Q28" s="55"/>
      <c r="R28" s="72" t="str">
        <f t="shared" si="0"/>
        <v/>
      </c>
      <c r="S28" s="35"/>
    </row>
    <row r="29" spans="3:19" ht="13.5" customHeight="1" x14ac:dyDescent="0.2">
      <c r="C29" s="55"/>
      <c r="D29" s="55"/>
      <c r="E29" s="55"/>
      <c r="F29" s="55"/>
      <c r="G29" s="55"/>
      <c r="H29" s="55"/>
      <c r="I29" s="55"/>
      <c r="J29" s="35"/>
      <c r="L29" s="55"/>
      <c r="M29" s="55"/>
      <c r="N29" s="55"/>
      <c r="O29" s="55"/>
      <c r="P29" s="55"/>
      <c r="Q29" s="55"/>
      <c r="R29" s="72" t="str">
        <f t="shared" si="0"/>
        <v/>
      </c>
      <c r="S29" s="35"/>
    </row>
    <row r="30" spans="3:19" ht="13.5" customHeight="1" x14ac:dyDescent="0.2">
      <c r="C30" s="55"/>
      <c r="D30" s="55"/>
      <c r="E30" s="55"/>
      <c r="F30" s="55"/>
      <c r="G30" s="55"/>
      <c r="H30" s="55"/>
      <c r="I30" s="55"/>
      <c r="J30" s="35"/>
      <c r="L30" s="55"/>
      <c r="M30" s="55"/>
      <c r="N30" s="55"/>
      <c r="O30" s="55"/>
      <c r="P30" s="55"/>
      <c r="Q30" s="55"/>
      <c r="R30" s="72" t="str">
        <f t="shared" si="0"/>
        <v/>
      </c>
      <c r="S30" s="35"/>
    </row>
    <row r="31" spans="3:19" ht="13.5" customHeight="1" x14ac:dyDescent="0.2">
      <c r="C31" s="55"/>
      <c r="D31" s="55"/>
      <c r="E31" s="55"/>
      <c r="F31" s="55"/>
      <c r="G31" s="55"/>
      <c r="H31" s="55"/>
      <c r="I31" s="55"/>
      <c r="J31" s="35"/>
      <c r="L31" s="55"/>
      <c r="M31" s="55"/>
      <c r="N31" s="55"/>
      <c r="O31" s="55"/>
      <c r="P31" s="55"/>
      <c r="Q31" s="55"/>
      <c r="R31" s="72" t="str">
        <f t="shared" si="0"/>
        <v/>
      </c>
      <c r="S31" s="35"/>
    </row>
    <row r="32" spans="3:19" ht="13.5" customHeight="1" x14ac:dyDescent="0.2">
      <c r="C32" s="55"/>
      <c r="D32" s="55"/>
      <c r="E32" s="55"/>
      <c r="F32" s="55"/>
      <c r="G32" s="55"/>
      <c r="H32" s="55"/>
      <c r="I32" s="55"/>
      <c r="J32" s="35"/>
      <c r="L32" s="55"/>
      <c r="M32" s="55"/>
      <c r="N32" s="55"/>
      <c r="O32" s="55"/>
      <c r="P32" s="55"/>
      <c r="Q32" s="55"/>
      <c r="R32" s="72" t="str">
        <f t="shared" si="0"/>
        <v/>
      </c>
      <c r="S32" s="35"/>
    </row>
    <row r="33" spans="3:19" ht="13.5" customHeight="1" x14ac:dyDescent="0.2">
      <c r="C33" s="55"/>
      <c r="D33" s="55"/>
      <c r="E33" s="55"/>
      <c r="F33" s="55"/>
      <c r="G33" s="55"/>
      <c r="H33" s="55"/>
      <c r="I33" s="55"/>
      <c r="J33" s="35"/>
      <c r="L33" s="55"/>
      <c r="M33" s="55"/>
      <c r="N33" s="55"/>
      <c r="O33" s="55"/>
      <c r="P33" s="55"/>
      <c r="Q33" s="55"/>
      <c r="R33" s="72" t="str">
        <f t="shared" si="0"/>
        <v/>
      </c>
      <c r="S33" s="35"/>
    </row>
    <row r="34" spans="3:19" ht="13.5" customHeight="1" x14ac:dyDescent="0.2">
      <c r="C34" s="55"/>
      <c r="D34" s="55"/>
      <c r="E34" s="55"/>
      <c r="F34" s="55"/>
      <c r="G34" s="55"/>
      <c r="H34" s="55"/>
      <c r="I34" s="55"/>
      <c r="J34" s="35"/>
      <c r="L34" s="55"/>
      <c r="M34" s="55"/>
      <c r="N34" s="55"/>
      <c r="O34" s="55"/>
      <c r="P34" s="55"/>
      <c r="Q34" s="55"/>
      <c r="R34" s="72" t="str">
        <f t="shared" si="0"/>
        <v/>
      </c>
      <c r="S34" s="35"/>
    </row>
    <row r="35" spans="3:19" ht="13.5" customHeight="1" x14ac:dyDescent="0.2">
      <c r="C35" s="55"/>
      <c r="D35" s="55"/>
      <c r="E35" s="55"/>
      <c r="F35" s="55"/>
      <c r="G35" s="55"/>
      <c r="H35" s="55"/>
      <c r="I35" s="55"/>
      <c r="J35" s="35"/>
      <c r="L35" s="55"/>
      <c r="M35" s="55"/>
      <c r="N35" s="55"/>
      <c r="O35" s="55"/>
      <c r="P35" s="55"/>
      <c r="Q35" s="55"/>
      <c r="R35" s="72" t="str">
        <f t="shared" si="0"/>
        <v/>
      </c>
      <c r="S35" s="35"/>
    </row>
    <row r="36" spans="3:19" ht="13.5" customHeight="1" x14ac:dyDescent="0.2">
      <c r="C36" s="55"/>
      <c r="D36" s="55"/>
      <c r="E36" s="55"/>
      <c r="F36" s="55"/>
      <c r="G36" s="55"/>
      <c r="H36" s="55"/>
      <c r="I36" s="55"/>
      <c r="J36" s="35"/>
      <c r="L36" s="55"/>
      <c r="M36" s="55"/>
      <c r="N36" s="55"/>
      <c r="O36" s="55"/>
      <c r="P36" s="55"/>
      <c r="Q36" s="55"/>
      <c r="R36" s="72" t="str">
        <f t="shared" si="0"/>
        <v/>
      </c>
      <c r="S36" s="35"/>
    </row>
    <row r="37" spans="3:19" ht="13.5" customHeight="1" x14ac:dyDescent="0.2">
      <c r="C37" s="55"/>
      <c r="D37" s="55"/>
      <c r="E37" s="55"/>
      <c r="F37" s="55"/>
      <c r="G37" s="55"/>
      <c r="H37" s="55"/>
      <c r="I37" s="55"/>
      <c r="J37" s="35"/>
      <c r="L37" s="55"/>
      <c r="M37" s="55"/>
      <c r="N37" s="55"/>
      <c r="O37" s="55"/>
      <c r="P37" s="55"/>
      <c r="Q37" s="55"/>
      <c r="R37" s="72" t="str">
        <f t="shared" si="0"/>
        <v/>
      </c>
      <c r="S37" s="35"/>
    </row>
    <row r="38" spans="3:19" ht="13.5" customHeight="1" x14ac:dyDescent="0.2">
      <c r="C38" s="55"/>
      <c r="D38" s="55"/>
      <c r="E38" s="55"/>
      <c r="F38" s="55"/>
      <c r="G38" s="55"/>
      <c r="H38" s="55"/>
      <c r="I38" s="55"/>
      <c r="J38" s="35"/>
      <c r="L38" s="55"/>
      <c r="M38" s="55"/>
      <c r="N38" s="55"/>
      <c r="O38" s="55"/>
      <c r="P38" s="55"/>
      <c r="Q38" s="55"/>
      <c r="R38" s="72" t="str">
        <f t="shared" si="0"/>
        <v/>
      </c>
      <c r="S38" s="35"/>
    </row>
    <row r="39" spans="3:19" ht="13.5" customHeight="1" x14ac:dyDescent="0.2">
      <c r="C39" s="55"/>
      <c r="D39" s="55"/>
      <c r="E39" s="55"/>
      <c r="F39" s="55"/>
      <c r="G39" s="55"/>
      <c r="H39" s="55"/>
      <c r="I39" s="55"/>
      <c r="J39" s="35"/>
      <c r="L39" s="55"/>
      <c r="M39" s="55"/>
      <c r="N39" s="55"/>
      <c r="O39" s="55"/>
      <c r="P39" s="55"/>
      <c r="Q39" s="55"/>
      <c r="R39" s="72" t="str">
        <f t="shared" si="0"/>
        <v/>
      </c>
      <c r="S39" s="35"/>
    </row>
    <row r="40" spans="3:19" ht="13.5" customHeight="1" x14ac:dyDescent="0.2">
      <c r="C40" s="55"/>
      <c r="D40" s="55"/>
      <c r="E40" s="55"/>
      <c r="F40" s="55"/>
      <c r="G40" s="55"/>
      <c r="H40" s="55"/>
      <c r="I40" s="55"/>
      <c r="J40" s="35"/>
      <c r="L40" s="55"/>
      <c r="M40" s="55"/>
      <c r="N40" s="55"/>
      <c r="O40" s="55"/>
      <c r="P40" s="55"/>
      <c r="Q40" s="55"/>
      <c r="R40" s="72" t="str">
        <f t="shared" si="0"/>
        <v/>
      </c>
      <c r="S40" s="35"/>
    </row>
    <row r="41" spans="3:19" ht="13.5" customHeight="1" x14ac:dyDescent="0.2">
      <c r="C41" s="55"/>
      <c r="D41" s="55"/>
      <c r="E41" s="55"/>
      <c r="F41" s="55"/>
      <c r="G41" s="55"/>
      <c r="H41" s="55"/>
      <c r="I41" s="55"/>
      <c r="J41" s="35"/>
      <c r="L41" s="55"/>
      <c r="M41" s="55"/>
      <c r="N41" s="55"/>
      <c r="O41" s="55"/>
      <c r="P41" s="55"/>
      <c r="Q41" s="55"/>
      <c r="R41" s="72" t="str">
        <f t="shared" si="0"/>
        <v/>
      </c>
      <c r="S41" s="35"/>
    </row>
    <row r="42" spans="3:19" ht="13.5" customHeight="1" x14ac:dyDescent="0.2">
      <c r="C42" s="55"/>
      <c r="D42" s="55"/>
      <c r="E42" s="55"/>
      <c r="F42" s="55"/>
      <c r="G42" s="55"/>
      <c r="H42" s="55"/>
      <c r="I42" s="55"/>
      <c r="J42" s="35"/>
      <c r="L42" s="55"/>
      <c r="M42" s="55"/>
      <c r="N42" s="55"/>
      <c r="O42" s="55"/>
      <c r="P42" s="55"/>
      <c r="Q42" s="55"/>
      <c r="R42" s="72" t="str">
        <f t="shared" si="0"/>
        <v/>
      </c>
      <c r="S42" s="35"/>
    </row>
    <row r="43" spans="3:19" ht="13.5" customHeight="1" x14ac:dyDescent="0.2">
      <c r="C43" s="39" t="str">
        <f>VLOOKUP("#0119",translation,code,FALSE)</f>
        <v>Summe</v>
      </c>
      <c r="D43" s="39"/>
      <c r="E43" s="39"/>
      <c r="F43" s="57">
        <f>SUM(F12:F42)</f>
        <v>0</v>
      </c>
      <c r="G43" s="39"/>
      <c r="H43" s="39"/>
      <c r="I43" s="72">
        <f>SUM(I12:I42)</f>
        <v>0</v>
      </c>
      <c r="J43" s="35"/>
      <c r="L43" s="39"/>
      <c r="M43" s="39"/>
      <c r="P43" s="39"/>
      <c r="Q43" s="39"/>
      <c r="R43" s="39"/>
      <c r="S43" s="35"/>
    </row>
    <row r="44" spans="3:19" ht="13.5" customHeight="1" x14ac:dyDescent="0.2">
      <c r="G44" s="1"/>
      <c r="H44" s="1"/>
      <c r="I44" s="1"/>
    </row>
    <row r="45" spans="3:19" ht="13.5" customHeight="1" x14ac:dyDescent="0.2">
      <c r="G45" s="1"/>
      <c r="H45" s="1"/>
      <c r="I45" s="1"/>
    </row>
  </sheetData>
  <sheetProtection algorithmName="SHA-512" hashValue="GLVu76u7QMPFaklhnq+4hxDPUoIEXGBpIUD+qCmk1TMJnSZ4WCmVUqdXP5jFAyDi6GsaggWQrAv0joxOQ3auOg==" saltValue="ayH8xqy+aZd3gZjQn0WkmA==" spinCount="100000" sheet="1" objects="1" scenarios="1" selectLockedCells="1"/>
  <conditionalFormatting sqref="F43">
    <cfRule type="cellIs" dxfId="53" priority="17" operator="greaterThan">
      <formula>100</formula>
    </cfRule>
    <cfRule type="cellIs" dxfId="52" priority="18" operator="equal">
      <formula>100</formula>
    </cfRule>
    <cfRule type="cellIs" dxfId="51" priority="19" operator="lessThan">
      <formula>100</formula>
    </cfRule>
  </conditionalFormatting>
  <conditionalFormatting sqref="I43">
    <cfRule type="cellIs" dxfId="50" priority="6" operator="greaterThan">
      <formula>1.5</formula>
    </cfRule>
    <cfRule type="cellIs" dxfId="49" priority="7" operator="lessThanOrEqual">
      <formula>1.5</formula>
    </cfRule>
  </conditionalFormatting>
  <conditionalFormatting sqref="J10:J11">
    <cfRule type="cellIs" dxfId="48" priority="20" operator="equal">
      <formula>"a"</formula>
    </cfRule>
  </conditionalFormatting>
  <conditionalFormatting sqref="J12:J43">
    <cfRule type="cellIs" dxfId="47" priority="13" stopIfTrue="1" operator="equal">
      <formula>"a"</formula>
    </cfRule>
    <cfRule type="cellIs" dxfId="46" priority="14" stopIfTrue="1" operator="equal">
      <formula>"r"</formula>
    </cfRule>
  </conditionalFormatting>
  <conditionalFormatting sqref="R12:R42">
    <cfRule type="cellIs" dxfId="45" priority="3" operator="equal">
      <formula>""</formula>
    </cfRule>
    <cfRule type="cellIs" dxfId="44" priority="4" operator="greaterThan">
      <formula>1.5</formula>
    </cfRule>
    <cfRule type="cellIs" dxfId="43" priority="5" operator="lessThanOrEqual">
      <formula>1.5</formula>
    </cfRule>
  </conditionalFormatting>
  <conditionalFormatting sqref="S10:S11">
    <cfRule type="cellIs" dxfId="42" priority="12" operator="equal">
      <formula>"a"</formula>
    </cfRule>
  </conditionalFormatting>
  <conditionalFormatting sqref="S12:S43">
    <cfRule type="cellIs" dxfId="41" priority="1" stopIfTrue="1" operator="equal">
      <formula>"a"</formula>
    </cfRule>
    <cfRule type="cellIs" dxfId="40" priority="2" stopIfTrue="1" operator="equal">
      <formula>"r"</formula>
    </cfRule>
  </conditionalFormatting>
  <dataValidations count="1">
    <dataValidation type="list" allowBlank="1" showInputMessage="1" showErrorMessage="1" sqref="G12:H42 O12:P42 M6 G6" xr:uid="{760764FC-4C2F-4E45-BAFB-430B8F9DF500}">
      <formula1>Jain</formula1>
    </dataValidation>
  </dataValidations>
  <pageMargins left="0.78740157480314965" right="0.78740157480314965" top="0.98425196850393704" bottom="0.98425196850393704" header="0.51181102362204722" footer="0.51181102362204722"/>
  <pageSetup paperSize="9" scale="70" fitToWidth="2" orientation="landscape" r:id="rId1"/>
  <headerFooter alignWithMargins="0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52BE6-1EC6-40DC-9989-C1EAF28D3C12}">
  <dimension ref="C2:S45"/>
  <sheetViews>
    <sheetView zoomScaleNormal="100" workbookViewId="0">
      <selection activeCell="D4" sqref="D4"/>
    </sheetView>
  </sheetViews>
  <sheetFormatPr baseColWidth="10" defaultRowHeight="13.5" customHeight="1" x14ac:dyDescent="0.2"/>
  <cols>
    <col min="1" max="2" width="2.5703125" style="5" customWidth="1"/>
    <col min="3" max="3" width="29.140625" style="5" customWidth="1"/>
    <col min="4" max="4" width="43.42578125" style="5" customWidth="1"/>
    <col min="5" max="5" width="28.5703125" style="5" customWidth="1"/>
    <col min="6" max="9" width="14.140625" style="5" customWidth="1"/>
    <col min="10" max="11" width="2.5703125" style="5" customWidth="1"/>
    <col min="12" max="12" width="43.42578125" style="5" bestFit="1" customWidth="1"/>
    <col min="13" max="13" width="28.5703125" style="5" customWidth="1"/>
    <col min="14" max="14" width="18.7109375" style="5" customWidth="1"/>
    <col min="15" max="15" width="11.42578125" style="5"/>
    <col min="16" max="16" width="16.28515625" style="5" customWidth="1"/>
    <col min="17" max="18" width="11.42578125" style="5"/>
    <col min="19" max="19" width="2.5703125" style="5" customWidth="1"/>
    <col min="20" max="16384" width="11.42578125" style="5"/>
  </cols>
  <sheetData>
    <row r="2" spans="3:19" ht="13.5" customHeight="1" x14ac:dyDescent="0.2">
      <c r="C2" s="4" t="str">
        <f>VLOOKUP("#0133",translation,code,FALSE)</f>
        <v>Rezeptur 3</v>
      </c>
      <c r="I2" s="42" t="str">
        <f>VLOOKUP("#0129",translation,code,FALSE)</f>
        <v>Seite 1/2</v>
      </c>
      <c r="L2" s="4" t="str">
        <f>VLOOKUP("#0136",translation,code,FALSE)</f>
        <v>Mischsystem mit Basis 3</v>
      </c>
      <c r="R2" s="42" t="str">
        <f>VLOOKUP("#0130",translation,code,FALSE)</f>
        <v>Seite 2/2</v>
      </c>
    </row>
    <row r="4" spans="3:19" ht="13.5" customHeight="1" x14ac:dyDescent="0.2">
      <c r="C4" s="5" t="str">
        <f>VLOOKUP("#0015",translation,code,FALSE)</f>
        <v>Handelsname der Produkts:</v>
      </c>
      <c r="D4" s="55"/>
      <c r="L4" s="5" t="str">
        <f>VLOOKUP("#0055",translation,code,FALSE)</f>
        <v>wenn zutreffend</v>
      </c>
    </row>
    <row r="5" spans="3:19" ht="12.75" x14ac:dyDescent="0.2"/>
    <row r="6" spans="3:19" ht="13.5" customHeight="1" x14ac:dyDescent="0.2">
      <c r="C6" s="5" t="str">
        <f>VLOOKUP("#0039",translation,code,FALSE)</f>
        <v>Farbton:</v>
      </c>
      <c r="D6" s="55"/>
      <c r="F6" s="63" t="str">
        <f>VLOOKUP("#0040",translation,code,FALSE)</f>
        <v>als Basis für ein Mischsystem verwendet</v>
      </c>
      <c r="G6" s="55"/>
      <c r="H6" s="74" t="str">
        <f>IF(OR(G6="Ja",G6="Yes"),"ª","")</f>
        <v/>
      </c>
      <c r="I6" s="4" t="str">
        <f>IF(OR(G6="Ja",G6="Yes"),VLOOKUP("#0043",translation,code,FALSE),"")</f>
        <v/>
      </c>
      <c r="L6" s="5" t="str">
        <f>VLOOKUP("#0058",translation,code,FALSE)</f>
        <v>Die Basis wird separat verkauft.</v>
      </c>
      <c r="M6" s="55"/>
    </row>
    <row r="7" spans="3:19" ht="13.5" customHeight="1" x14ac:dyDescent="0.2">
      <c r="C7" s="5" t="str">
        <f>VLOOKUP("#0037",translation,code,FALSE)</f>
        <v>Spezifische Dichte [g/ml]:</v>
      </c>
      <c r="D7" s="55"/>
    </row>
    <row r="8" spans="3:19" ht="13.5" customHeight="1" x14ac:dyDescent="0.2">
      <c r="C8" s="5" t="str">
        <f>VLOOKUP("#0038",translation,code,FALSE)</f>
        <v>nichtflüchtiger Anteil:</v>
      </c>
      <c r="D8" s="55"/>
    </row>
    <row r="10" spans="3:19" ht="51" x14ac:dyDescent="0.2">
      <c r="C10" s="67" t="str">
        <f>VLOOKUP("#0031",translation,code,FALSE)</f>
        <v>Funktion</v>
      </c>
      <c r="D10" s="67" t="str">
        <f>VLOOKUP("#0032",translation,code,FALSE)</f>
        <v>Substanz-/Handelsname
(wie im Sicherheitsdatenblatt
angegeben oder IUPAC Name)</v>
      </c>
      <c r="E10" s="67" t="str">
        <f>VLOOKUP("#0033",translation,code,FALSE)</f>
        <v>Hersteller / Lieferant</v>
      </c>
      <c r="F10" s="67" t="str">
        <f>VLOOKUP("#0034",translation,code,FALSE)</f>
        <v>Einsatz-
menge
[Gew.-%]</v>
      </c>
      <c r="G10" s="67" t="str">
        <f>VLOOKUP("#0035",translation,code,FALSE)</f>
        <v>SDS
beige-
fügt?</v>
      </c>
      <c r="H10" s="67" t="str">
        <f>VLOOKUP("#0036",translation,code,FALSE)</f>
        <v>Chemikalien-
erklärung
beigefügt?</v>
      </c>
      <c r="I10" s="67" t="str">
        <f>VLOOKUP("#0046",translation,code,FALSE)</f>
        <v>VOC
[Gew.-%]</v>
      </c>
      <c r="J10" s="59"/>
      <c r="L10" s="67" t="str">
        <f>VLOOKUP("#0044",translation,code,FALSE)</f>
        <v>Substanz-/Handelsname der
Farbpaste/des Pigments
(wie im Sicherheitsdatenblatt
angegeben oder IUPAC Name)</v>
      </c>
      <c r="M10" s="67" t="str">
        <f>VLOOKUP("#0033",translation,code,FALSE)</f>
        <v>Hersteller / Lieferant</v>
      </c>
      <c r="N10" s="67" t="str">
        <f>VLOOKUP("#0045",translation,code,FALSE)</f>
        <v>Einsatzmenge in
der fertigen Farbe
[Gew.-%]</v>
      </c>
      <c r="O10" s="67" t="str">
        <f>VLOOKUP("#0035",translation,code,FALSE)</f>
        <v>SDS
beige-
fügt?</v>
      </c>
      <c r="P10" s="67" t="str">
        <f>VLOOKUP("#0036",translation,code,FALSE)</f>
        <v>Chemikalien-
erklärung
beigefügt?</v>
      </c>
      <c r="Q10" s="67" t="str">
        <f>VLOOKUP("#0046",translation,code,FALSE)</f>
        <v>VOC
[Gew.-%]</v>
      </c>
      <c r="R10" s="67" t="str">
        <f>VLOOKUP("#0051",translation,code,FALSE)</f>
        <v>VOC
mit Basis
[Gew.-%]</v>
      </c>
      <c r="S10" s="59"/>
    </row>
    <row r="11" spans="3:19" ht="13.5" customHeight="1" x14ac:dyDescent="0.2">
      <c r="C11" s="58"/>
      <c r="D11" s="56"/>
      <c r="E11" s="66"/>
      <c r="F11" s="56"/>
      <c r="G11" s="54"/>
      <c r="H11" s="58"/>
      <c r="I11" s="58"/>
      <c r="J11" s="60"/>
      <c r="L11" s="56"/>
      <c r="M11" s="66"/>
      <c r="N11" s="56"/>
      <c r="O11" s="54"/>
      <c r="P11" s="58"/>
      <c r="Q11" s="58"/>
      <c r="R11" s="73"/>
      <c r="S11" s="60"/>
    </row>
    <row r="12" spans="3:19" ht="13.5" customHeight="1" x14ac:dyDescent="0.2">
      <c r="C12" s="55"/>
      <c r="D12" s="55"/>
      <c r="E12" s="55"/>
      <c r="F12" s="55"/>
      <c r="G12" s="55"/>
      <c r="H12" s="55"/>
      <c r="I12" s="55"/>
      <c r="J12" s="35"/>
      <c r="L12" s="55"/>
      <c r="M12" s="55"/>
      <c r="N12" s="55"/>
      <c r="O12" s="55"/>
      <c r="P12" s="55"/>
      <c r="Q12" s="55"/>
      <c r="R12" s="72" t="str">
        <f t="shared" ref="R12:R42" si="0">IF(L12="","",(100-$N12)/100*$I$43+$N12/100*$Q12)</f>
        <v/>
      </c>
      <c r="S12" s="35"/>
    </row>
    <row r="13" spans="3:19" ht="13.5" customHeight="1" x14ac:dyDescent="0.2">
      <c r="C13" s="55"/>
      <c r="D13" s="55"/>
      <c r="E13" s="55"/>
      <c r="F13" s="55"/>
      <c r="G13" s="55"/>
      <c r="H13" s="55"/>
      <c r="I13" s="55"/>
      <c r="J13" s="35"/>
      <c r="L13" s="55"/>
      <c r="M13" s="55"/>
      <c r="N13" s="55"/>
      <c r="O13" s="55"/>
      <c r="P13" s="55"/>
      <c r="Q13" s="55"/>
      <c r="R13" s="72" t="str">
        <f t="shared" si="0"/>
        <v/>
      </c>
      <c r="S13" s="35"/>
    </row>
    <row r="14" spans="3:19" ht="13.5" customHeight="1" x14ac:dyDescent="0.2">
      <c r="C14" s="55"/>
      <c r="D14" s="55"/>
      <c r="E14" s="55"/>
      <c r="F14" s="55"/>
      <c r="G14" s="55"/>
      <c r="H14" s="55"/>
      <c r="I14" s="55"/>
      <c r="J14" s="35"/>
      <c r="L14" s="55"/>
      <c r="M14" s="55"/>
      <c r="N14" s="55"/>
      <c r="O14" s="55"/>
      <c r="P14" s="55"/>
      <c r="Q14" s="55"/>
      <c r="R14" s="72" t="str">
        <f t="shared" si="0"/>
        <v/>
      </c>
      <c r="S14" s="35"/>
    </row>
    <row r="15" spans="3:19" ht="13.5" customHeight="1" x14ac:dyDescent="0.2">
      <c r="C15" s="55"/>
      <c r="D15" s="55"/>
      <c r="E15" s="55"/>
      <c r="F15" s="55"/>
      <c r="G15" s="55"/>
      <c r="H15" s="55"/>
      <c r="I15" s="55"/>
      <c r="J15" s="35"/>
      <c r="L15" s="55"/>
      <c r="M15" s="55"/>
      <c r="N15" s="55"/>
      <c r="O15" s="55"/>
      <c r="P15" s="55"/>
      <c r="Q15" s="55"/>
      <c r="R15" s="72" t="str">
        <f t="shared" si="0"/>
        <v/>
      </c>
      <c r="S15" s="35"/>
    </row>
    <row r="16" spans="3:19" ht="13.5" customHeight="1" x14ac:dyDescent="0.2">
      <c r="C16" s="55"/>
      <c r="D16" s="55"/>
      <c r="E16" s="55"/>
      <c r="F16" s="55"/>
      <c r="G16" s="55"/>
      <c r="H16" s="55"/>
      <c r="I16" s="55"/>
      <c r="J16" s="35"/>
      <c r="L16" s="55"/>
      <c r="M16" s="55"/>
      <c r="N16" s="55"/>
      <c r="O16" s="55"/>
      <c r="P16" s="55"/>
      <c r="Q16" s="55"/>
      <c r="R16" s="72" t="str">
        <f t="shared" si="0"/>
        <v/>
      </c>
      <c r="S16" s="35"/>
    </row>
    <row r="17" spans="3:19" ht="13.5" customHeight="1" x14ac:dyDescent="0.2">
      <c r="C17" s="55"/>
      <c r="D17" s="55"/>
      <c r="E17" s="55"/>
      <c r="F17" s="55"/>
      <c r="G17" s="55"/>
      <c r="H17" s="55"/>
      <c r="I17" s="55"/>
      <c r="J17" s="35"/>
      <c r="L17" s="55"/>
      <c r="M17" s="55"/>
      <c r="N17" s="55"/>
      <c r="O17" s="55"/>
      <c r="P17" s="55"/>
      <c r="Q17" s="55"/>
      <c r="R17" s="72" t="str">
        <f t="shared" si="0"/>
        <v/>
      </c>
      <c r="S17" s="35"/>
    </row>
    <row r="18" spans="3:19" ht="13.5" customHeight="1" x14ac:dyDescent="0.2">
      <c r="C18" s="55"/>
      <c r="D18" s="55"/>
      <c r="E18" s="55"/>
      <c r="F18" s="55"/>
      <c r="G18" s="55"/>
      <c r="H18" s="55"/>
      <c r="I18" s="55"/>
      <c r="J18" s="35"/>
      <c r="L18" s="55"/>
      <c r="M18" s="55"/>
      <c r="N18" s="55"/>
      <c r="O18" s="55"/>
      <c r="P18" s="55"/>
      <c r="Q18" s="55"/>
      <c r="R18" s="72" t="str">
        <f t="shared" si="0"/>
        <v/>
      </c>
      <c r="S18" s="35"/>
    </row>
    <row r="19" spans="3:19" ht="13.5" customHeight="1" x14ac:dyDescent="0.2">
      <c r="C19" s="55"/>
      <c r="D19" s="55"/>
      <c r="E19" s="55"/>
      <c r="F19" s="55"/>
      <c r="G19" s="55"/>
      <c r="H19" s="55"/>
      <c r="I19" s="55"/>
      <c r="J19" s="35"/>
      <c r="L19" s="55"/>
      <c r="M19" s="55"/>
      <c r="N19" s="55"/>
      <c r="O19" s="55"/>
      <c r="P19" s="55"/>
      <c r="Q19" s="55"/>
      <c r="R19" s="72" t="str">
        <f t="shared" si="0"/>
        <v/>
      </c>
      <c r="S19" s="35"/>
    </row>
    <row r="20" spans="3:19" ht="13.5" customHeight="1" x14ac:dyDescent="0.2">
      <c r="C20" s="55"/>
      <c r="D20" s="55"/>
      <c r="E20" s="55"/>
      <c r="F20" s="55"/>
      <c r="G20" s="55"/>
      <c r="H20" s="55"/>
      <c r="I20" s="55"/>
      <c r="J20" s="35"/>
      <c r="L20" s="55"/>
      <c r="M20" s="55"/>
      <c r="N20" s="55"/>
      <c r="O20" s="55"/>
      <c r="P20" s="55"/>
      <c r="Q20" s="55"/>
      <c r="R20" s="72" t="str">
        <f t="shared" si="0"/>
        <v/>
      </c>
      <c r="S20" s="35"/>
    </row>
    <row r="21" spans="3:19" ht="13.5" customHeight="1" x14ac:dyDescent="0.2">
      <c r="C21" s="55"/>
      <c r="D21" s="55"/>
      <c r="E21" s="55"/>
      <c r="F21" s="55"/>
      <c r="G21" s="55"/>
      <c r="H21" s="55"/>
      <c r="I21" s="55"/>
      <c r="J21" s="35"/>
      <c r="L21" s="55"/>
      <c r="M21" s="55"/>
      <c r="N21" s="55"/>
      <c r="O21" s="55"/>
      <c r="P21" s="55"/>
      <c r="Q21" s="55"/>
      <c r="R21" s="72" t="str">
        <f t="shared" si="0"/>
        <v/>
      </c>
      <c r="S21" s="35"/>
    </row>
    <row r="22" spans="3:19" ht="13.5" customHeight="1" x14ac:dyDescent="0.2">
      <c r="C22" s="55"/>
      <c r="D22" s="55"/>
      <c r="E22" s="55"/>
      <c r="F22" s="55"/>
      <c r="G22" s="55"/>
      <c r="H22" s="55"/>
      <c r="I22" s="55"/>
      <c r="J22" s="35"/>
      <c r="L22" s="55"/>
      <c r="M22" s="55"/>
      <c r="N22" s="55"/>
      <c r="O22" s="55"/>
      <c r="P22" s="55"/>
      <c r="Q22" s="55"/>
      <c r="R22" s="72" t="str">
        <f t="shared" si="0"/>
        <v/>
      </c>
      <c r="S22" s="35"/>
    </row>
    <row r="23" spans="3:19" ht="13.5" customHeight="1" x14ac:dyDescent="0.2">
      <c r="C23" s="55"/>
      <c r="D23" s="55"/>
      <c r="E23" s="55"/>
      <c r="F23" s="55"/>
      <c r="G23" s="55"/>
      <c r="H23" s="55"/>
      <c r="I23" s="55"/>
      <c r="J23" s="35"/>
      <c r="L23" s="55"/>
      <c r="M23" s="55"/>
      <c r="N23" s="55"/>
      <c r="O23" s="55"/>
      <c r="P23" s="55"/>
      <c r="Q23" s="55"/>
      <c r="R23" s="72" t="str">
        <f t="shared" si="0"/>
        <v/>
      </c>
      <c r="S23" s="35"/>
    </row>
    <row r="24" spans="3:19" ht="13.5" customHeight="1" x14ac:dyDescent="0.2">
      <c r="C24" s="55"/>
      <c r="D24" s="55"/>
      <c r="E24" s="55"/>
      <c r="F24" s="55"/>
      <c r="G24" s="55"/>
      <c r="H24" s="55"/>
      <c r="I24" s="55"/>
      <c r="J24" s="35"/>
      <c r="L24" s="55"/>
      <c r="M24" s="55"/>
      <c r="N24" s="55"/>
      <c r="O24" s="55"/>
      <c r="P24" s="55"/>
      <c r="Q24" s="55"/>
      <c r="R24" s="72" t="str">
        <f t="shared" si="0"/>
        <v/>
      </c>
      <c r="S24" s="35"/>
    </row>
    <row r="25" spans="3:19" ht="13.5" customHeight="1" x14ac:dyDescent="0.2">
      <c r="C25" s="55"/>
      <c r="D25" s="55"/>
      <c r="E25" s="55"/>
      <c r="F25" s="55"/>
      <c r="G25" s="55"/>
      <c r="H25" s="55"/>
      <c r="I25" s="55"/>
      <c r="J25" s="35"/>
      <c r="L25" s="55"/>
      <c r="M25" s="55"/>
      <c r="N25" s="55"/>
      <c r="O25" s="55"/>
      <c r="P25" s="55"/>
      <c r="Q25" s="55"/>
      <c r="R25" s="72" t="str">
        <f t="shared" si="0"/>
        <v/>
      </c>
      <c r="S25" s="35"/>
    </row>
    <row r="26" spans="3:19" ht="13.5" customHeight="1" x14ac:dyDescent="0.2">
      <c r="C26" s="55"/>
      <c r="D26" s="55"/>
      <c r="E26" s="55"/>
      <c r="F26" s="55"/>
      <c r="G26" s="55"/>
      <c r="H26" s="55"/>
      <c r="I26" s="55"/>
      <c r="J26" s="35"/>
      <c r="L26" s="55"/>
      <c r="M26" s="55"/>
      <c r="N26" s="55"/>
      <c r="O26" s="55"/>
      <c r="P26" s="55"/>
      <c r="Q26" s="55"/>
      <c r="R26" s="72" t="str">
        <f t="shared" si="0"/>
        <v/>
      </c>
      <c r="S26" s="35"/>
    </row>
    <row r="27" spans="3:19" ht="13.5" customHeight="1" x14ac:dyDescent="0.2">
      <c r="C27" s="55"/>
      <c r="D27" s="55"/>
      <c r="E27" s="55"/>
      <c r="F27" s="55"/>
      <c r="G27" s="55"/>
      <c r="H27" s="55"/>
      <c r="I27" s="55"/>
      <c r="J27" s="35"/>
      <c r="L27" s="55"/>
      <c r="M27" s="55"/>
      <c r="N27" s="55"/>
      <c r="O27" s="55"/>
      <c r="P27" s="55"/>
      <c r="Q27" s="55"/>
      <c r="R27" s="72" t="str">
        <f t="shared" si="0"/>
        <v/>
      </c>
      <c r="S27" s="35"/>
    </row>
    <row r="28" spans="3:19" ht="13.5" customHeight="1" x14ac:dyDescent="0.2">
      <c r="C28" s="55"/>
      <c r="D28" s="55"/>
      <c r="E28" s="55"/>
      <c r="F28" s="55"/>
      <c r="G28" s="55"/>
      <c r="H28" s="55"/>
      <c r="I28" s="55"/>
      <c r="J28" s="35"/>
      <c r="L28" s="55"/>
      <c r="M28" s="55"/>
      <c r="N28" s="55"/>
      <c r="O28" s="55"/>
      <c r="P28" s="55"/>
      <c r="Q28" s="55"/>
      <c r="R28" s="72" t="str">
        <f t="shared" si="0"/>
        <v/>
      </c>
      <c r="S28" s="35"/>
    </row>
    <row r="29" spans="3:19" ht="13.5" customHeight="1" x14ac:dyDescent="0.2">
      <c r="C29" s="55"/>
      <c r="D29" s="55"/>
      <c r="E29" s="55"/>
      <c r="F29" s="55"/>
      <c r="G29" s="55"/>
      <c r="H29" s="55"/>
      <c r="I29" s="55"/>
      <c r="J29" s="35"/>
      <c r="L29" s="55"/>
      <c r="M29" s="55"/>
      <c r="N29" s="55"/>
      <c r="O29" s="55"/>
      <c r="P29" s="55"/>
      <c r="Q29" s="55"/>
      <c r="R29" s="72" t="str">
        <f t="shared" si="0"/>
        <v/>
      </c>
      <c r="S29" s="35"/>
    </row>
    <row r="30" spans="3:19" ht="13.5" customHeight="1" x14ac:dyDescent="0.2">
      <c r="C30" s="55"/>
      <c r="D30" s="55"/>
      <c r="E30" s="55"/>
      <c r="F30" s="55"/>
      <c r="G30" s="55"/>
      <c r="H30" s="55"/>
      <c r="I30" s="55"/>
      <c r="J30" s="35"/>
      <c r="L30" s="55"/>
      <c r="M30" s="55"/>
      <c r="N30" s="55"/>
      <c r="O30" s="55"/>
      <c r="P30" s="55"/>
      <c r="Q30" s="55"/>
      <c r="R30" s="72" t="str">
        <f t="shared" si="0"/>
        <v/>
      </c>
      <c r="S30" s="35"/>
    </row>
    <row r="31" spans="3:19" ht="13.5" customHeight="1" x14ac:dyDescent="0.2">
      <c r="C31" s="55"/>
      <c r="D31" s="55"/>
      <c r="E31" s="55"/>
      <c r="F31" s="55"/>
      <c r="G31" s="55"/>
      <c r="H31" s="55"/>
      <c r="I31" s="55"/>
      <c r="J31" s="35"/>
      <c r="L31" s="55"/>
      <c r="M31" s="55"/>
      <c r="N31" s="55"/>
      <c r="O31" s="55"/>
      <c r="P31" s="55"/>
      <c r="Q31" s="55"/>
      <c r="R31" s="72" t="str">
        <f t="shared" si="0"/>
        <v/>
      </c>
      <c r="S31" s="35"/>
    </row>
    <row r="32" spans="3:19" ht="13.5" customHeight="1" x14ac:dyDescent="0.2">
      <c r="C32" s="55"/>
      <c r="D32" s="55"/>
      <c r="E32" s="55"/>
      <c r="F32" s="55"/>
      <c r="G32" s="55"/>
      <c r="H32" s="55"/>
      <c r="I32" s="55"/>
      <c r="J32" s="35"/>
      <c r="L32" s="55"/>
      <c r="M32" s="55"/>
      <c r="N32" s="55"/>
      <c r="O32" s="55"/>
      <c r="P32" s="55"/>
      <c r="Q32" s="55"/>
      <c r="R32" s="72" t="str">
        <f t="shared" si="0"/>
        <v/>
      </c>
      <c r="S32" s="35"/>
    </row>
    <row r="33" spans="3:19" ht="13.5" customHeight="1" x14ac:dyDescent="0.2">
      <c r="C33" s="55"/>
      <c r="D33" s="55"/>
      <c r="E33" s="55"/>
      <c r="F33" s="55"/>
      <c r="G33" s="55"/>
      <c r="H33" s="55"/>
      <c r="I33" s="55"/>
      <c r="J33" s="35"/>
      <c r="L33" s="55"/>
      <c r="M33" s="55"/>
      <c r="N33" s="55"/>
      <c r="O33" s="55"/>
      <c r="P33" s="55"/>
      <c r="Q33" s="55"/>
      <c r="R33" s="72" t="str">
        <f t="shared" si="0"/>
        <v/>
      </c>
      <c r="S33" s="35"/>
    </row>
    <row r="34" spans="3:19" ht="13.5" customHeight="1" x14ac:dyDescent="0.2">
      <c r="C34" s="55"/>
      <c r="D34" s="55"/>
      <c r="E34" s="55"/>
      <c r="F34" s="55"/>
      <c r="G34" s="55"/>
      <c r="H34" s="55"/>
      <c r="I34" s="55"/>
      <c r="J34" s="35"/>
      <c r="L34" s="55"/>
      <c r="M34" s="55"/>
      <c r="N34" s="55"/>
      <c r="O34" s="55"/>
      <c r="P34" s="55"/>
      <c r="Q34" s="55"/>
      <c r="R34" s="72" t="str">
        <f t="shared" si="0"/>
        <v/>
      </c>
      <c r="S34" s="35"/>
    </row>
    <row r="35" spans="3:19" ht="13.5" customHeight="1" x14ac:dyDescent="0.2">
      <c r="C35" s="55"/>
      <c r="D35" s="55"/>
      <c r="E35" s="55"/>
      <c r="F35" s="55"/>
      <c r="G35" s="55"/>
      <c r="H35" s="55"/>
      <c r="I35" s="55"/>
      <c r="J35" s="35"/>
      <c r="L35" s="55"/>
      <c r="M35" s="55"/>
      <c r="N35" s="55"/>
      <c r="O35" s="55"/>
      <c r="P35" s="55"/>
      <c r="Q35" s="55"/>
      <c r="R35" s="72" t="str">
        <f t="shared" si="0"/>
        <v/>
      </c>
      <c r="S35" s="35"/>
    </row>
    <row r="36" spans="3:19" ht="13.5" customHeight="1" x14ac:dyDescent="0.2">
      <c r="C36" s="55"/>
      <c r="D36" s="55"/>
      <c r="E36" s="55"/>
      <c r="F36" s="55"/>
      <c r="G36" s="55"/>
      <c r="H36" s="55"/>
      <c r="I36" s="55"/>
      <c r="J36" s="35"/>
      <c r="L36" s="55"/>
      <c r="M36" s="55"/>
      <c r="N36" s="55"/>
      <c r="O36" s="55"/>
      <c r="P36" s="55"/>
      <c r="Q36" s="55"/>
      <c r="R36" s="72" t="str">
        <f t="shared" si="0"/>
        <v/>
      </c>
      <c r="S36" s="35"/>
    </row>
    <row r="37" spans="3:19" ht="13.5" customHeight="1" x14ac:dyDescent="0.2">
      <c r="C37" s="55"/>
      <c r="D37" s="55"/>
      <c r="E37" s="55"/>
      <c r="F37" s="55"/>
      <c r="G37" s="55"/>
      <c r="H37" s="55"/>
      <c r="I37" s="55"/>
      <c r="J37" s="35"/>
      <c r="L37" s="55"/>
      <c r="M37" s="55"/>
      <c r="N37" s="55"/>
      <c r="O37" s="55"/>
      <c r="P37" s="55"/>
      <c r="Q37" s="55"/>
      <c r="R37" s="72" t="str">
        <f t="shared" si="0"/>
        <v/>
      </c>
      <c r="S37" s="35"/>
    </row>
    <row r="38" spans="3:19" ht="13.5" customHeight="1" x14ac:dyDescent="0.2">
      <c r="C38" s="55"/>
      <c r="D38" s="55"/>
      <c r="E38" s="55"/>
      <c r="F38" s="55"/>
      <c r="G38" s="55"/>
      <c r="H38" s="55"/>
      <c r="I38" s="55"/>
      <c r="J38" s="35"/>
      <c r="L38" s="55"/>
      <c r="M38" s="55"/>
      <c r="N38" s="55"/>
      <c r="O38" s="55"/>
      <c r="P38" s="55"/>
      <c r="Q38" s="55"/>
      <c r="R38" s="72" t="str">
        <f t="shared" si="0"/>
        <v/>
      </c>
      <c r="S38" s="35"/>
    </row>
    <row r="39" spans="3:19" ht="13.5" customHeight="1" x14ac:dyDescent="0.2">
      <c r="C39" s="55"/>
      <c r="D39" s="55"/>
      <c r="E39" s="55"/>
      <c r="F39" s="55"/>
      <c r="G39" s="55"/>
      <c r="H39" s="55"/>
      <c r="I39" s="55"/>
      <c r="J39" s="35"/>
      <c r="L39" s="55"/>
      <c r="M39" s="55"/>
      <c r="N39" s="55"/>
      <c r="O39" s="55"/>
      <c r="P39" s="55"/>
      <c r="Q39" s="55"/>
      <c r="R39" s="72" t="str">
        <f t="shared" si="0"/>
        <v/>
      </c>
      <c r="S39" s="35"/>
    </row>
    <row r="40" spans="3:19" ht="13.5" customHeight="1" x14ac:dyDescent="0.2">
      <c r="C40" s="55"/>
      <c r="D40" s="55"/>
      <c r="E40" s="55"/>
      <c r="F40" s="55"/>
      <c r="G40" s="55"/>
      <c r="H40" s="55"/>
      <c r="I40" s="55"/>
      <c r="J40" s="35"/>
      <c r="L40" s="55"/>
      <c r="M40" s="55"/>
      <c r="N40" s="55"/>
      <c r="O40" s="55"/>
      <c r="P40" s="55"/>
      <c r="Q40" s="55"/>
      <c r="R40" s="72" t="str">
        <f t="shared" si="0"/>
        <v/>
      </c>
      <c r="S40" s="35"/>
    </row>
    <row r="41" spans="3:19" ht="13.5" customHeight="1" x14ac:dyDescent="0.2">
      <c r="C41" s="55"/>
      <c r="D41" s="55"/>
      <c r="E41" s="55"/>
      <c r="F41" s="55"/>
      <c r="G41" s="55"/>
      <c r="H41" s="55"/>
      <c r="I41" s="55"/>
      <c r="J41" s="35"/>
      <c r="L41" s="55"/>
      <c r="M41" s="55"/>
      <c r="N41" s="55"/>
      <c r="O41" s="55"/>
      <c r="P41" s="55"/>
      <c r="Q41" s="55"/>
      <c r="R41" s="72" t="str">
        <f t="shared" si="0"/>
        <v/>
      </c>
      <c r="S41" s="35"/>
    </row>
    <row r="42" spans="3:19" ht="13.5" customHeight="1" x14ac:dyDescent="0.2">
      <c r="C42" s="55"/>
      <c r="D42" s="55"/>
      <c r="E42" s="55"/>
      <c r="F42" s="55"/>
      <c r="G42" s="55"/>
      <c r="H42" s="55"/>
      <c r="I42" s="55"/>
      <c r="J42" s="35"/>
      <c r="L42" s="55"/>
      <c r="M42" s="55"/>
      <c r="N42" s="55"/>
      <c r="O42" s="55"/>
      <c r="P42" s="55"/>
      <c r="Q42" s="55"/>
      <c r="R42" s="72" t="str">
        <f t="shared" si="0"/>
        <v/>
      </c>
      <c r="S42" s="35"/>
    </row>
    <row r="43" spans="3:19" ht="13.5" customHeight="1" x14ac:dyDescent="0.2">
      <c r="C43" s="39" t="str">
        <f>VLOOKUP("#0119",translation,code,FALSE)</f>
        <v>Summe</v>
      </c>
      <c r="D43" s="39"/>
      <c r="E43" s="39"/>
      <c r="F43" s="57">
        <f>SUM(F12:F42)</f>
        <v>0</v>
      </c>
      <c r="G43" s="39"/>
      <c r="H43" s="39"/>
      <c r="I43" s="72">
        <f>SUM(I12:I42)</f>
        <v>0</v>
      </c>
      <c r="J43" s="35"/>
      <c r="L43" s="39"/>
      <c r="M43" s="39"/>
      <c r="P43" s="39"/>
      <c r="Q43" s="39"/>
      <c r="R43" s="39"/>
      <c r="S43" s="35"/>
    </row>
    <row r="44" spans="3:19" ht="13.5" customHeight="1" x14ac:dyDescent="0.2">
      <c r="G44" s="1"/>
      <c r="H44" s="1"/>
      <c r="I44" s="1"/>
    </row>
    <row r="45" spans="3:19" ht="13.5" customHeight="1" x14ac:dyDescent="0.2">
      <c r="G45" s="1"/>
      <c r="H45" s="1"/>
      <c r="I45" s="1"/>
    </row>
  </sheetData>
  <sheetProtection algorithmName="SHA-512" hashValue="xNMS9IEsGflw3DNiW31KtWW+2jmG3oGqnMew3WEsAtT6O4AeWzzD8yr4hIfAHzs8cm0VUeozJKM4LveSneEncw==" saltValue="pp0UKE8ZkacDaosmcgEHTw==" spinCount="100000" sheet="1" objects="1" scenarios="1" selectLockedCells="1"/>
  <conditionalFormatting sqref="F43">
    <cfRule type="cellIs" dxfId="39" priority="17" operator="greaterThan">
      <formula>100</formula>
    </cfRule>
    <cfRule type="cellIs" dxfId="38" priority="18" operator="equal">
      <formula>100</formula>
    </cfRule>
    <cfRule type="cellIs" dxfId="37" priority="19" operator="lessThan">
      <formula>100</formula>
    </cfRule>
  </conditionalFormatting>
  <conditionalFormatting sqref="I43">
    <cfRule type="cellIs" dxfId="36" priority="6" operator="greaterThan">
      <formula>1.5</formula>
    </cfRule>
    <cfRule type="cellIs" dxfId="35" priority="7" operator="lessThanOrEqual">
      <formula>1.5</formula>
    </cfRule>
  </conditionalFormatting>
  <conditionalFormatting sqref="J10:J11">
    <cfRule type="cellIs" dxfId="34" priority="20" operator="equal">
      <formula>"a"</formula>
    </cfRule>
  </conditionalFormatting>
  <conditionalFormatting sqref="J12:J43">
    <cfRule type="cellIs" dxfId="33" priority="13" stopIfTrue="1" operator="equal">
      <formula>"a"</formula>
    </cfRule>
    <cfRule type="cellIs" dxfId="32" priority="14" stopIfTrue="1" operator="equal">
      <formula>"r"</formula>
    </cfRule>
  </conditionalFormatting>
  <conditionalFormatting sqref="R12:R42">
    <cfRule type="cellIs" dxfId="31" priority="3" operator="equal">
      <formula>""</formula>
    </cfRule>
    <cfRule type="cellIs" dxfId="30" priority="4" operator="greaterThan">
      <formula>1.5</formula>
    </cfRule>
    <cfRule type="cellIs" dxfId="29" priority="5" operator="lessThanOrEqual">
      <formula>1.5</formula>
    </cfRule>
  </conditionalFormatting>
  <conditionalFormatting sqref="S10:S11">
    <cfRule type="cellIs" dxfId="28" priority="12" operator="equal">
      <formula>"a"</formula>
    </cfRule>
  </conditionalFormatting>
  <conditionalFormatting sqref="S12:S43">
    <cfRule type="cellIs" dxfId="27" priority="1" stopIfTrue="1" operator="equal">
      <formula>"a"</formula>
    </cfRule>
    <cfRule type="cellIs" dxfId="26" priority="2" stopIfTrue="1" operator="equal">
      <formula>"r"</formula>
    </cfRule>
  </conditionalFormatting>
  <dataValidations count="1">
    <dataValidation type="list" allowBlank="1" showInputMessage="1" showErrorMessage="1" sqref="G12:H42 O12:P42 M6 G6" xr:uid="{A5CA6C78-2C77-47DE-AB05-44ED414F9A97}">
      <formula1>Jain</formula1>
    </dataValidation>
  </dataValidations>
  <pageMargins left="0.78740157480314965" right="0.78740157480314965" top="0.98425196850393704" bottom="0.98425196850393704" header="0.51181102362204722" footer="0.51181102362204722"/>
  <pageSetup paperSize="9" scale="70" fitToWidth="2" orientation="landscape" r:id="rId1"/>
  <headerFooter alignWithMargins="0"/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08E93-D0C1-445C-BB3B-F5A221E4E395}">
  <dimension ref="C2:S45"/>
  <sheetViews>
    <sheetView zoomScaleNormal="100" workbookViewId="0">
      <selection activeCell="D4" sqref="D4"/>
    </sheetView>
  </sheetViews>
  <sheetFormatPr baseColWidth="10" defaultRowHeight="13.5" customHeight="1" x14ac:dyDescent="0.2"/>
  <cols>
    <col min="1" max="2" width="2.5703125" style="5" customWidth="1"/>
    <col min="3" max="3" width="29.140625" style="5" customWidth="1"/>
    <col min="4" max="4" width="43.42578125" style="5" customWidth="1"/>
    <col min="5" max="5" width="28.5703125" style="5" customWidth="1"/>
    <col min="6" max="9" width="14.140625" style="5" customWidth="1"/>
    <col min="10" max="11" width="2.5703125" style="5" customWidth="1"/>
    <col min="12" max="12" width="43.42578125" style="5" bestFit="1" customWidth="1"/>
    <col min="13" max="13" width="28.5703125" style="5" customWidth="1"/>
    <col min="14" max="14" width="18.7109375" style="5" customWidth="1"/>
    <col min="15" max="15" width="11.42578125" style="5"/>
    <col min="16" max="16" width="16.28515625" style="5" customWidth="1"/>
    <col min="17" max="18" width="11.42578125" style="5"/>
    <col min="19" max="19" width="2.5703125" style="5" customWidth="1"/>
    <col min="20" max="16384" width="11.42578125" style="5"/>
  </cols>
  <sheetData>
    <row r="2" spans="3:19" ht="13.5" customHeight="1" x14ac:dyDescent="0.2">
      <c r="C2" s="4" t="str">
        <f>VLOOKUP("#0131",translation,code,FALSE)</f>
        <v>Rezeptur 4</v>
      </c>
      <c r="I2" s="42" t="str">
        <f>VLOOKUP("#0129",translation,code,FALSE)</f>
        <v>Seite 1/2</v>
      </c>
      <c r="L2" s="4" t="str">
        <f>VLOOKUP("#0134",translation,code,FALSE)</f>
        <v>Mischsystem mit Basis 4</v>
      </c>
      <c r="R2" s="42" t="str">
        <f>VLOOKUP("#0130",translation,code,FALSE)</f>
        <v>Seite 2/2</v>
      </c>
    </row>
    <row r="4" spans="3:19" ht="13.5" customHeight="1" x14ac:dyDescent="0.2">
      <c r="C4" s="5" t="str">
        <f>VLOOKUP("#0015",translation,code,FALSE)</f>
        <v>Handelsname der Produkts:</v>
      </c>
      <c r="D4" s="55"/>
      <c r="L4" s="5" t="str">
        <f>VLOOKUP("#0055",translation,code,FALSE)</f>
        <v>wenn zutreffend</v>
      </c>
    </row>
    <row r="5" spans="3:19" ht="12.75" x14ac:dyDescent="0.2"/>
    <row r="6" spans="3:19" ht="13.5" customHeight="1" x14ac:dyDescent="0.2">
      <c r="C6" s="5" t="str">
        <f>VLOOKUP("#0039",translation,code,FALSE)</f>
        <v>Farbton:</v>
      </c>
      <c r="D6" s="55"/>
      <c r="F6" s="63" t="str">
        <f>VLOOKUP("#0040",translation,code,FALSE)</f>
        <v>als Basis für ein Mischsystem verwendet</v>
      </c>
      <c r="G6" s="55"/>
      <c r="H6" s="74" t="str">
        <f>IF(OR(G6="Ja",G6="Yes"),"ª","")</f>
        <v/>
      </c>
      <c r="I6" s="4" t="str">
        <f>IF(OR(G6="Ja",G6="Yes"),VLOOKUP("#0137",translation,code,FALSE),"")</f>
        <v/>
      </c>
      <c r="L6" s="5" t="str">
        <f>VLOOKUP("#0058",translation,code,FALSE)</f>
        <v>Die Basis wird separat verkauft.</v>
      </c>
      <c r="M6" s="55"/>
    </row>
    <row r="7" spans="3:19" ht="13.5" customHeight="1" x14ac:dyDescent="0.2">
      <c r="C7" s="5" t="str">
        <f>VLOOKUP("#0037",translation,code,FALSE)</f>
        <v>Spezifische Dichte [g/ml]:</v>
      </c>
      <c r="D7" s="55"/>
    </row>
    <row r="8" spans="3:19" ht="13.5" customHeight="1" x14ac:dyDescent="0.2">
      <c r="C8" s="5" t="str">
        <f>VLOOKUP("#0038",translation,code,FALSE)</f>
        <v>nichtflüchtiger Anteil:</v>
      </c>
      <c r="D8" s="55"/>
    </row>
    <row r="10" spans="3:19" ht="51" x14ac:dyDescent="0.2">
      <c r="C10" s="67" t="str">
        <f>VLOOKUP("#0031",translation,code,FALSE)</f>
        <v>Funktion</v>
      </c>
      <c r="D10" s="67" t="str">
        <f>VLOOKUP("#0032",translation,code,FALSE)</f>
        <v>Substanz-/Handelsname
(wie im Sicherheitsdatenblatt
angegeben oder IUPAC Name)</v>
      </c>
      <c r="E10" s="67" t="str">
        <f>VLOOKUP("#0033",translation,code,FALSE)</f>
        <v>Hersteller / Lieferant</v>
      </c>
      <c r="F10" s="67" t="str">
        <f>VLOOKUP("#0034",translation,code,FALSE)</f>
        <v>Einsatz-
menge
[Gew.-%]</v>
      </c>
      <c r="G10" s="67" t="str">
        <f>VLOOKUP("#0035",translation,code,FALSE)</f>
        <v>SDS
beige-
fügt?</v>
      </c>
      <c r="H10" s="67" t="str">
        <f>VLOOKUP("#0036",translation,code,FALSE)</f>
        <v>Chemikalien-
erklärung
beigefügt?</v>
      </c>
      <c r="I10" s="67" t="str">
        <f>VLOOKUP("#0046",translation,code,FALSE)</f>
        <v>VOC
[Gew.-%]</v>
      </c>
      <c r="J10" s="59"/>
      <c r="L10" s="67" t="str">
        <f>VLOOKUP("#0044",translation,code,FALSE)</f>
        <v>Substanz-/Handelsname der
Farbpaste/des Pigments
(wie im Sicherheitsdatenblatt
angegeben oder IUPAC Name)</v>
      </c>
      <c r="M10" s="67" t="str">
        <f>VLOOKUP("#0033",translation,code,FALSE)</f>
        <v>Hersteller / Lieferant</v>
      </c>
      <c r="N10" s="67" t="str">
        <f>VLOOKUP("#0045",translation,code,FALSE)</f>
        <v>Einsatzmenge in
der fertigen Farbe
[Gew.-%]</v>
      </c>
      <c r="O10" s="67" t="str">
        <f>VLOOKUP("#0035",translation,code,FALSE)</f>
        <v>SDS
beige-
fügt?</v>
      </c>
      <c r="P10" s="67" t="str">
        <f>VLOOKUP("#0036",translation,code,FALSE)</f>
        <v>Chemikalien-
erklärung
beigefügt?</v>
      </c>
      <c r="Q10" s="67" t="str">
        <f>VLOOKUP("#0046",translation,code,FALSE)</f>
        <v>VOC
[Gew.-%]</v>
      </c>
      <c r="R10" s="67" t="str">
        <f>VLOOKUP("#0051",translation,code,FALSE)</f>
        <v>VOC
mit Basis
[Gew.-%]</v>
      </c>
      <c r="S10" s="59"/>
    </row>
    <row r="11" spans="3:19" ht="13.5" customHeight="1" x14ac:dyDescent="0.2">
      <c r="C11" s="58"/>
      <c r="D11" s="56"/>
      <c r="E11" s="66"/>
      <c r="F11" s="56"/>
      <c r="G11" s="54"/>
      <c r="H11" s="58"/>
      <c r="I11" s="58"/>
      <c r="J11" s="60"/>
      <c r="L11" s="56"/>
      <c r="M11" s="66"/>
      <c r="N11" s="56"/>
      <c r="O11" s="54"/>
      <c r="P11" s="58"/>
      <c r="Q11" s="58"/>
      <c r="R11" s="73"/>
      <c r="S11" s="60"/>
    </row>
    <row r="12" spans="3:19" ht="13.5" customHeight="1" x14ac:dyDescent="0.2">
      <c r="C12" s="55"/>
      <c r="D12" s="55"/>
      <c r="E12" s="55"/>
      <c r="F12" s="55"/>
      <c r="G12" s="55"/>
      <c r="H12" s="55"/>
      <c r="I12" s="55"/>
      <c r="J12" s="35"/>
      <c r="L12" s="55"/>
      <c r="M12" s="55"/>
      <c r="N12" s="55"/>
      <c r="O12" s="55"/>
      <c r="P12" s="55"/>
      <c r="Q12" s="55"/>
      <c r="R12" s="72" t="str">
        <f t="shared" ref="R12:R42" si="0">IF(L12="","",(100-$N12)/100*$I$43+$N12/100*$Q12)</f>
        <v/>
      </c>
      <c r="S12" s="35"/>
    </row>
    <row r="13" spans="3:19" ht="13.5" customHeight="1" x14ac:dyDescent="0.2">
      <c r="C13" s="55"/>
      <c r="D13" s="55"/>
      <c r="E13" s="55"/>
      <c r="F13" s="55"/>
      <c r="G13" s="55"/>
      <c r="H13" s="55"/>
      <c r="I13" s="55"/>
      <c r="J13" s="35"/>
      <c r="L13" s="55"/>
      <c r="M13" s="55"/>
      <c r="N13" s="55"/>
      <c r="O13" s="55"/>
      <c r="P13" s="55"/>
      <c r="Q13" s="55"/>
      <c r="R13" s="72" t="str">
        <f t="shared" si="0"/>
        <v/>
      </c>
      <c r="S13" s="35"/>
    </row>
    <row r="14" spans="3:19" ht="13.5" customHeight="1" x14ac:dyDescent="0.2">
      <c r="C14" s="55"/>
      <c r="D14" s="55"/>
      <c r="E14" s="55"/>
      <c r="F14" s="55"/>
      <c r="G14" s="55"/>
      <c r="H14" s="55"/>
      <c r="I14" s="55"/>
      <c r="J14" s="35"/>
      <c r="L14" s="55"/>
      <c r="M14" s="55"/>
      <c r="N14" s="55"/>
      <c r="O14" s="55"/>
      <c r="P14" s="55"/>
      <c r="Q14" s="55"/>
      <c r="R14" s="72" t="str">
        <f t="shared" si="0"/>
        <v/>
      </c>
      <c r="S14" s="35"/>
    </row>
    <row r="15" spans="3:19" ht="13.5" customHeight="1" x14ac:dyDescent="0.2">
      <c r="C15" s="55"/>
      <c r="D15" s="55"/>
      <c r="E15" s="55"/>
      <c r="F15" s="55"/>
      <c r="G15" s="55"/>
      <c r="H15" s="55"/>
      <c r="I15" s="55"/>
      <c r="J15" s="35"/>
      <c r="L15" s="55"/>
      <c r="M15" s="55"/>
      <c r="N15" s="55"/>
      <c r="O15" s="55"/>
      <c r="P15" s="55"/>
      <c r="Q15" s="55"/>
      <c r="R15" s="72" t="str">
        <f t="shared" si="0"/>
        <v/>
      </c>
      <c r="S15" s="35"/>
    </row>
    <row r="16" spans="3:19" ht="13.5" customHeight="1" x14ac:dyDescent="0.2">
      <c r="C16" s="55"/>
      <c r="D16" s="55"/>
      <c r="E16" s="55"/>
      <c r="F16" s="55"/>
      <c r="G16" s="55"/>
      <c r="H16" s="55"/>
      <c r="I16" s="55"/>
      <c r="J16" s="35"/>
      <c r="L16" s="55"/>
      <c r="M16" s="55"/>
      <c r="N16" s="55"/>
      <c r="O16" s="55"/>
      <c r="P16" s="55"/>
      <c r="Q16" s="55"/>
      <c r="R16" s="72" t="str">
        <f t="shared" si="0"/>
        <v/>
      </c>
      <c r="S16" s="35"/>
    </row>
    <row r="17" spans="3:19" ht="13.5" customHeight="1" x14ac:dyDescent="0.2">
      <c r="C17" s="55"/>
      <c r="D17" s="55"/>
      <c r="E17" s="55"/>
      <c r="F17" s="55"/>
      <c r="G17" s="55"/>
      <c r="H17" s="55"/>
      <c r="I17" s="55"/>
      <c r="J17" s="35"/>
      <c r="L17" s="55"/>
      <c r="M17" s="55"/>
      <c r="N17" s="55"/>
      <c r="O17" s="55"/>
      <c r="P17" s="55"/>
      <c r="Q17" s="55"/>
      <c r="R17" s="72" t="str">
        <f t="shared" si="0"/>
        <v/>
      </c>
      <c r="S17" s="35"/>
    </row>
    <row r="18" spans="3:19" ht="13.5" customHeight="1" x14ac:dyDescent="0.2">
      <c r="C18" s="55"/>
      <c r="D18" s="55"/>
      <c r="E18" s="55"/>
      <c r="F18" s="55"/>
      <c r="G18" s="55"/>
      <c r="H18" s="55"/>
      <c r="I18" s="55"/>
      <c r="J18" s="35"/>
      <c r="L18" s="55"/>
      <c r="M18" s="55"/>
      <c r="N18" s="55"/>
      <c r="O18" s="55"/>
      <c r="P18" s="55"/>
      <c r="Q18" s="55"/>
      <c r="R18" s="72" t="str">
        <f t="shared" si="0"/>
        <v/>
      </c>
      <c r="S18" s="35"/>
    </row>
    <row r="19" spans="3:19" ht="13.5" customHeight="1" x14ac:dyDescent="0.2">
      <c r="C19" s="55"/>
      <c r="D19" s="55"/>
      <c r="E19" s="55"/>
      <c r="F19" s="55"/>
      <c r="G19" s="55"/>
      <c r="H19" s="55"/>
      <c r="I19" s="55"/>
      <c r="J19" s="35"/>
      <c r="L19" s="55"/>
      <c r="M19" s="55"/>
      <c r="N19" s="55"/>
      <c r="O19" s="55"/>
      <c r="P19" s="55"/>
      <c r="Q19" s="55"/>
      <c r="R19" s="72" t="str">
        <f t="shared" si="0"/>
        <v/>
      </c>
      <c r="S19" s="35"/>
    </row>
    <row r="20" spans="3:19" ht="13.5" customHeight="1" x14ac:dyDescent="0.2">
      <c r="C20" s="55"/>
      <c r="D20" s="55"/>
      <c r="E20" s="55"/>
      <c r="F20" s="55"/>
      <c r="G20" s="55"/>
      <c r="H20" s="55"/>
      <c r="I20" s="55"/>
      <c r="J20" s="35"/>
      <c r="L20" s="55"/>
      <c r="M20" s="55"/>
      <c r="N20" s="55"/>
      <c r="O20" s="55"/>
      <c r="P20" s="55"/>
      <c r="Q20" s="55"/>
      <c r="R20" s="72" t="str">
        <f t="shared" si="0"/>
        <v/>
      </c>
      <c r="S20" s="35"/>
    </row>
    <row r="21" spans="3:19" ht="13.5" customHeight="1" x14ac:dyDescent="0.2">
      <c r="C21" s="55"/>
      <c r="D21" s="55"/>
      <c r="E21" s="55"/>
      <c r="F21" s="55"/>
      <c r="G21" s="55"/>
      <c r="H21" s="55"/>
      <c r="I21" s="55"/>
      <c r="J21" s="35"/>
      <c r="L21" s="55"/>
      <c r="M21" s="55"/>
      <c r="N21" s="55"/>
      <c r="O21" s="55"/>
      <c r="P21" s="55"/>
      <c r="Q21" s="55"/>
      <c r="R21" s="72" t="str">
        <f t="shared" si="0"/>
        <v/>
      </c>
      <c r="S21" s="35"/>
    </row>
    <row r="22" spans="3:19" ht="13.5" customHeight="1" x14ac:dyDescent="0.2">
      <c r="C22" s="55"/>
      <c r="D22" s="55"/>
      <c r="E22" s="55"/>
      <c r="F22" s="55"/>
      <c r="G22" s="55"/>
      <c r="H22" s="55"/>
      <c r="I22" s="55"/>
      <c r="J22" s="35"/>
      <c r="L22" s="55"/>
      <c r="M22" s="55"/>
      <c r="N22" s="55"/>
      <c r="O22" s="55"/>
      <c r="P22" s="55"/>
      <c r="Q22" s="55"/>
      <c r="R22" s="72" t="str">
        <f t="shared" si="0"/>
        <v/>
      </c>
      <c r="S22" s="35"/>
    </row>
    <row r="23" spans="3:19" ht="13.5" customHeight="1" x14ac:dyDescent="0.2">
      <c r="C23" s="55"/>
      <c r="D23" s="55"/>
      <c r="E23" s="55"/>
      <c r="F23" s="55"/>
      <c r="G23" s="55"/>
      <c r="H23" s="55"/>
      <c r="I23" s="55"/>
      <c r="J23" s="35"/>
      <c r="L23" s="55"/>
      <c r="M23" s="55"/>
      <c r="N23" s="55"/>
      <c r="O23" s="55"/>
      <c r="P23" s="55"/>
      <c r="Q23" s="55"/>
      <c r="R23" s="72" t="str">
        <f t="shared" si="0"/>
        <v/>
      </c>
      <c r="S23" s="35"/>
    </row>
    <row r="24" spans="3:19" ht="13.5" customHeight="1" x14ac:dyDescent="0.2">
      <c r="C24" s="55"/>
      <c r="D24" s="55"/>
      <c r="E24" s="55"/>
      <c r="F24" s="55"/>
      <c r="G24" s="55"/>
      <c r="H24" s="55"/>
      <c r="I24" s="55"/>
      <c r="J24" s="35"/>
      <c r="L24" s="55"/>
      <c r="M24" s="55"/>
      <c r="N24" s="55"/>
      <c r="O24" s="55"/>
      <c r="P24" s="55"/>
      <c r="Q24" s="55"/>
      <c r="R24" s="72" t="str">
        <f t="shared" si="0"/>
        <v/>
      </c>
      <c r="S24" s="35"/>
    </row>
    <row r="25" spans="3:19" ht="13.5" customHeight="1" x14ac:dyDescent="0.2">
      <c r="C25" s="55"/>
      <c r="D25" s="55"/>
      <c r="E25" s="55"/>
      <c r="F25" s="55"/>
      <c r="G25" s="55"/>
      <c r="H25" s="55"/>
      <c r="I25" s="55"/>
      <c r="J25" s="35"/>
      <c r="L25" s="55"/>
      <c r="M25" s="55"/>
      <c r="N25" s="55"/>
      <c r="O25" s="55"/>
      <c r="P25" s="55"/>
      <c r="Q25" s="55"/>
      <c r="R25" s="72" t="str">
        <f t="shared" si="0"/>
        <v/>
      </c>
      <c r="S25" s="35"/>
    </row>
    <row r="26" spans="3:19" ht="13.5" customHeight="1" x14ac:dyDescent="0.2">
      <c r="C26" s="55"/>
      <c r="D26" s="55"/>
      <c r="E26" s="55"/>
      <c r="F26" s="55"/>
      <c r="G26" s="55"/>
      <c r="H26" s="55"/>
      <c r="I26" s="55"/>
      <c r="J26" s="35"/>
      <c r="L26" s="55"/>
      <c r="M26" s="55"/>
      <c r="N26" s="55"/>
      <c r="O26" s="55"/>
      <c r="P26" s="55"/>
      <c r="Q26" s="55"/>
      <c r="R26" s="72" t="str">
        <f t="shared" si="0"/>
        <v/>
      </c>
      <c r="S26" s="35"/>
    </row>
    <row r="27" spans="3:19" ht="13.5" customHeight="1" x14ac:dyDescent="0.2">
      <c r="C27" s="55"/>
      <c r="D27" s="55"/>
      <c r="E27" s="55"/>
      <c r="F27" s="55"/>
      <c r="G27" s="55"/>
      <c r="H27" s="55"/>
      <c r="I27" s="55"/>
      <c r="J27" s="35"/>
      <c r="L27" s="55"/>
      <c r="M27" s="55"/>
      <c r="N27" s="55"/>
      <c r="O27" s="55"/>
      <c r="P27" s="55"/>
      <c r="Q27" s="55"/>
      <c r="R27" s="72" t="str">
        <f t="shared" si="0"/>
        <v/>
      </c>
      <c r="S27" s="35"/>
    </row>
    <row r="28" spans="3:19" ht="13.5" customHeight="1" x14ac:dyDescent="0.2">
      <c r="C28" s="55"/>
      <c r="D28" s="55"/>
      <c r="E28" s="55"/>
      <c r="F28" s="55"/>
      <c r="G28" s="55"/>
      <c r="H28" s="55"/>
      <c r="I28" s="55"/>
      <c r="J28" s="35"/>
      <c r="L28" s="55"/>
      <c r="M28" s="55"/>
      <c r="N28" s="55"/>
      <c r="O28" s="55"/>
      <c r="P28" s="55"/>
      <c r="Q28" s="55"/>
      <c r="R28" s="72" t="str">
        <f t="shared" si="0"/>
        <v/>
      </c>
      <c r="S28" s="35"/>
    </row>
    <row r="29" spans="3:19" ht="13.5" customHeight="1" x14ac:dyDescent="0.2">
      <c r="C29" s="55"/>
      <c r="D29" s="55"/>
      <c r="E29" s="55"/>
      <c r="F29" s="55"/>
      <c r="G29" s="55"/>
      <c r="H29" s="55"/>
      <c r="I29" s="55"/>
      <c r="J29" s="35"/>
      <c r="L29" s="55"/>
      <c r="M29" s="55"/>
      <c r="N29" s="55"/>
      <c r="O29" s="55"/>
      <c r="P29" s="55"/>
      <c r="Q29" s="55"/>
      <c r="R29" s="72" t="str">
        <f t="shared" si="0"/>
        <v/>
      </c>
      <c r="S29" s="35"/>
    </row>
    <row r="30" spans="3:19" ht="13.5" customHeight="1" x14ac:dyDescent="0.2">
      <c r="C30" s="55"/>
      <c r="D30" s="55"/>
      <c r="E30" s="55"/>
      <c r="F30" s="55"/>
      <c r="G30" s="55"/>
      <c r="H30" s="55"/>
      <c r="I30" s="55"/>
      <c r="J30" s="35"/>
      <c r="L30" s="55"/>
      <c r="M30" s="55"/>
      <c r="N30" s="55"/>
      <c r="O30" s="55"/>
      <c r="P30" s="55"/>
      <c r="Q30" s="55"/>
      <c r="R30" s="72" t="str">
        <f t="shared" si="0"/>
        <v/>
      </c>
      <c r="S30" s="35"/>
    </row>
    <row r="31" spans="3:19" ht="13.5" customHeight="1" x14ac:dyDescent="0.2">
      <c r="C31" s="55"/>
      <c r="D31" s="55"/>
      <c r="E31" s="55"/>
      <c r="F31" s="55"/>
      <c r="G31" s="55"/>
      <c r="H31" s="55"/>
      <c r="I31" s="55"/>
      <c r="J31" s="35"/>
      <c r="L31" s="55"/>
      <c r="M31" s="55"/>
      <c r="N31" s="55"/>
      <c r="O31" s="55"/>
      <c r="P31" s="55"/>
      <c r="Q31" s="55"/>
      <c r="R31" s="72" t="str">
        <f t="shared" si="0"/>
        <v/>
      </c>
      <c r="S31" s="35"/>
    </row>
    <row r="32" spans="3:19" ht="13.5" customHeight="1" x14ac:dyDescent="0.2">
      <c r="C32" s="55"/>
      <c r="D32" s="55"/>
      <c r="E32" s="55"/>
      <c r="F32" s="55"/>
      <c r="G32" s="55"/>
      <c r="H32" s="55"/>
      <c r="I32" s="55"/>
      <c r="J32" s="35"/>
      <c r="L32" s="55"/>
      <c r="M32" s="55"/>
      <c r="N32" s="55"/>
      <c r="O32" s="55"/>
      <c r="P32" s="55"/>
      <c r="Q32" s="55"/>
      <c r="R32" s="72" t="str">
        <f t="shared" si="0"/>
        <v/>
      </c>
      <c r="S32" s="35"/>
    </row>
    <row r="33" spans="3:19" ht="13.5" customHeight="1" x14ac:dyDescent="0.2">
      <c r="C33" s="55"/>
      <c r="D33" s="55"/>
      <c r="E33" s="55"/>
      <c r="F33" s="55"/>
      <c r="G33" s="55"/>
      <c r="H33" s="55"/>
      <c r="I33" s="55"/>
      <c r="J33" s="35"/>
      <c r="L33" s="55"/>
      <c r="M33" s="55"/>
      <c r="N33" s="55"/>
      <c r="O33" s="55"/>
      <c r="P33" s="55"/>
      <c r="Q33" s="55"/>
      <c r="R33" s="72" t="str">
        <f t="shared" si="0"/>
        <v/>
      </c>
      <c r="S33" s="35"/>
    </row>
    <row r="34" spans="3:19" ht="13.5" customHeight="1" x14ac:dyDescent="0.2">
      <c r="C34" s="55"/>
      <c r="D34" s="55"/>
      <c r="E34" s="55"/>
      <c r="F34" s="55"/>
      <c r="G34" s="55"/>
      <c r="H34" s="55"/>
      <c r="I34" s="55"/>
      <c r="J34" s="35"/>
      <c r="L34" s="55"/>
      <c r="M34" s="55"/>
      <c r="N34" s="55"/>
      <c r="O34" s="55"/>
      <c r="P34" s="55"/>
      <c r="Q34" s="55"/>
      <c r="R34" s="72" t="str">
        <f t="shared" si="0"/>
        <v/>
      </c>
      <c r="S34" s="35"/>
    </row>
    <row r="35" spans="3:19" ht="13.5" customHeight="1" x14ac:dyDescent="0.2">
      <c r="C35" s="55"/>
      <c r="D35" s="55"/>
      <c r="E35" s="55"/>
      <c r="F35" s="55"/>
      <c r="G35" s="55"/>
      <c r="H35" s="55"/>
      <c r="I35" s="55"/>
      <c r="J35" s="35"/>
      <c r="L35" s="55"/>
      <c r="M35" s="55"/>
      <c r="N35" s="55"/>
      <c r="O35" s="55"/>
      <c r="P35" s="55"/>
      <c r="Q35" s="55"/>
      <c r="R35" s="72" t="str">
        <f t="shared" si="0"/>
        <v/>
      </c>
      <c r="S35" s="35"/>
    </row>
    <row r="36" spans="3:19" ht="13.5" customHeight="1" x14ac:dyDescent="0.2">
      <c r="C36" s="55"/>
      <c r="D36" s="55"/>
      <c r="E36" s="55"/>
      <c r="F36" s="55"/>
      <c r="G36" s="55"/>
      <c r="H36" s="55"/>
      <c r="I36" s="55"/>
      <c r="J36" s="35"/>
      <c r="L36" s="55"/>
      <c r="M36" s="55"/>
      <c r="N36" s="55"/>
      <c r="O36" s="55"/>
      <c r="P36" s="55"/>
      <c r="Q36" s="55"/>
      <c r="R36" s="72" t="str">
        <f t="shared" si="0"/>
        <v/>
      </c>
      <c r="S36" s="35"/>
    </row>
    <row r="37" spans="3:19" ht="13.5" customHeight="1" x14ac:dyDescent="0.2">
      <c r="C37" s="55"/>
      <c r="D37" s="55"/>
      <c r="E37" s="55"/>
      <c r="F37" s="55"/>
      <c r="G37" s="55"/>
      <c r="H37" s="55"/>
      <c r="I37" s="55"/>
      <c r="J37" s="35"/>
      <c r="L37" s="55"/>
      <c r="M37" s="55"/>
      <c r="N37" s="55"/>
      <c r="O37" s="55"/>
      <c r="P37" s="55"/>
      <c r="Q37" s="55"/>
      <c r="R37" s="72" t="str">
        <f t="shared" si="0"/>
        <v/>
      </c>
      <c r="S37" s="35"/>
    </row>
    <row r="38" spans="3:19" ht="13.5" customHeight="1" x14ac:dyDescent="0.2">
      <c r="C38" s="55"/>
      <c r="D38" s="55"/>
      <c r="E38" s="55"/>
      <c r="F38" s="55"/>
      <c r="G38" s="55"/>
      <c r="H38" s="55"/>
      <c r="I38" s="55"/>
      <c r="J38" s="35"/>
      <c r="L38" s="55"/>
      <c r="M38" s="55"/>
      <c r="N38" s="55"/>
      <c r="O38" s="55"/>
      <c r="P38" s="55"/>
      <c r="Q38" s="55"/>
      <c r="R38" s="72" t="str">
        <f t="shared" si="0"/>
        <v/>
      </c>
      <c r="S38" s="35"/>
    </row>
    <row r="39" spans="3:19" ht="13.5" customHeight="1" x14ac:dyDescent="0.2">
      <c r="C39" s="55"/>
      <c r="D39" s="55"/>
      <c r="E39" s="55"/>
      <c r="F39" s="55"/>
      <c r="G39" s="55"/>
      <c r="H39" s="55"/>
      <c r="I39" s="55"/>
      <c r="J39" s="35"/>
      <c r="L39" s="55"/>
      <c r="M39" s="55"/>
      <c r="N39" s="55"/>
      <c r="O39" s="55"/>
      <c r="P39" s="55"/>
      <c r="Q39" s="55"/>
      <c r="R39" s="72" t="str">
        <f t="shared" si="0"/>
        <v/>
      </c>
      <c r="S39" s="35"/>
    </row>
    <row r="40" spans="3:19" ht="13.5" customHeight="1" x14ac:dyDescent="0.2">
      <c r="C40" s="55"/>
      <c r="D40" s="55"/>
      <c r="E40" s="55"/>
      <c r="F40" s="55"/>
      <c r="G40" s="55"/>
      <c r="H40" s="55"/>
      <c r="I40" s="55"/>
      <c r="J40" s="35"/>
      <c r="L40" s="55"/>
      <c r="M40" s="55"/>
      <c r="N40" s="55"/>
      <c r="O40" s="55"/>
      <c r="P40" s="55"/>
      <c r="Q40" s="55"/>
      <c r="R40" s="72" t="str">
        <f t="shared" si="0"/>
        <v/>
      </c>
      <c r="S40" s="35"/>
    </row>
    <row r="41" spans="3:19" ht="13.5" customHeight="1" x14ac:dyDescent="0.2">
      <c r="C41" s="55"/>
      <c r="D41" s="55"/>
      <c r="E41" s="55"/>
      <c r="F41" s="55"/>
      <c r="G41" s="55"/>
      <c r="H41" s="55"/>
      <c r="I41" s="55"/>
      <c r="J41" s="35"/>
      <c r="L41" s="55"/>
      <c r="M41" s="55"/>
      <c r="N41" s="55"/>
      <c r="O41" s="55"/>
      <c r="P41" s="55"/>
      <c r="Q41" s="55"/>
      <c r="R41" s="72" t="str">
        <f t="shared" si="0"/>
        <v/>
      </c>
      <c r="S41" s="35"/>
    </row>
    <row r="42" spans="3:19" ht="13.5" customHeight="1" x14ac:dyDescent="0.2">
      <c r="C42" s="55"/>
      <c r="D42" s="55"/>
      <c r="E42" s="55"/>
      <c r="F42" s="55"/>
      <c r="G42" s="55"/>
      <c r="H42" s="55"/>
      <c r="I42" s="55"/>
      <c r="J42" s="35"/>
      <c r="L42" s="55"/>
      <c r="M42" s="55"/>
      <c r="N42" s="55"/>
      <c r="O42" s="55"/>
      <c r="P42" s="55"/>
      <c r="Q42" s="55"/>
      <c r="R42" s="72" t="str">
        <f t="shared" si="0"/>
        <v/>
      </c>
      <c r="S42" s="35"/>
    </row>
    <row r="43" spans="3:19" ht="13.5" customHeight="1" x14ac:dyDescent="0.2">
      <c r="C43" s="39" t="str">
        <f>VLOOKUP("#0119",translation,code,FALSE)</f>
        <v>Summe</v>
      </c>
      <c r="D43" s="39"/>
      <c r="E43" s="39"/>
      <c r="F43" s="57">
        <f>SUM(F12:F42)</f>
        <v>0</v>
      </c>
      <c r="G43" s="39"/>
      <c r="H43" s="39"/>
      <c r="I43" s="72">
        <f>SUM(I12:I42)</f>
        <v>0</v>
      </c>
      <c r="J43" s="35"/>
      <c r="L43" s="39"/>
      <c r="M43" s="39"/>
      <c r="P43" s="39"/>
      <c r="Q43" s="39"/>
      <c r="R43" s="39"/>
      <c r="S43" s="35"/>
    </row>
    <row r="44" spans="3:19" ht="13.5" customHeight="1" x14ac:dyDescent="0.2">
      <c r="G44" s="1"/>
      <c r="H44" s="1"/>
      <c r="I44" s="1"/>
    </row>
    <row r="45" spans="3:19" ht="13.5" customHeight="1" x14ac:dyDescent="0.2">
      <c r="G45" s="1"/>
      <c r="H45" s="1"/>
      <c r="I45" s="1"/>
    </row>
  </sheetData>
  <sheetProtection algorithmName="SHA-512" hashValue="+PBV/lnZhQFLls2jg2XZCTLmnwwwktyoajuJ1wqM7F6Xqho97R6oAR7csjDoZXVT30/PWK4UsEwr/4NhzELneQ==" saltValue="MtoYxZ9D/gVONN1k7DyixA==" spinCount="100000" sheet="1" objects="1" scenarios="1" selectLockedCells="1"/>
  <conditionalFormatting sqref="F43">
    <cfRule type="cellIs" dxfId="25" priority="18" operator="greaterThan">
      <formula>100</formula>
    </cfRule>
    <cfRule type="cellIs" dxfId="24" priority="19" operator="equal">
      <formula>100</formula>
    </cfRule>
    <cfRule type="cellIs" dxfId="23" priority="20" operator="lessThan">
      <formula>100</formula>
    </cfRule>
  </conditionalFormatting>
  <conditionalFormatting sqref="I43">
    <cfRule type="cellIs" dxfId="22" priority="7" operator="greaterThan">
      <formula>1.5</formula>
    </cfRule>
    <cfRule type="cellIs" dxfId="21" priority="8" operator="lessThanOrEqual">
      <formula>1.5</formula>
    </cfRule>
  </conditionalFormatting>
  <conditionalFormatting sqref="J10:J11">
    <cfRule type="cellIs" dxfId="20" priority="21" operator="equal">
      <formula>"a"</formula>
    </cfRule>
  </conditionalFormatting>
  <conditionalFormatting sqref="J12:J43">
    <cfRule type="cellIs" dxfId="19" priority="14" stopIfTrue="1" operator="equal">
      <formula>"a"</formula>
    </cfRule>
    <cfRule type="cellIs" dxfId="18" priority="15" stopIfTrue="1" operator="equal">
      <formula>"r"</formula>
    </cfRule>
  </conditionalFormatting>
  <conditionalFormatting sqref="R12:R42">
    <cfRule type="cellIs" dxfId="17" priority="4" operator="equal">
      <formula>""</formula>
    </cfRule>
    <cfRule type="cellIs" dxfId="16" priority="5" operator="greaterThan">
      <formula>1.5</formula>
    </cfRule>
    <cfRule type="cellIs" dxfId="15" priority="6" operator="lessThanOrEqual">
      <formula>1.5</formula>
    </cfRule>
  </conditionalFormatting>
  <conditionalFormatting sqref="S10:S11">
    <cfRule type="cellIs" dxfId="14" priority="13" operator="equal">
      <formula>"a"</formula>
    </cfRule>
  </conditionalFormatting>
  <conditionalFormatting sqref="S12:S43">
    <cfRule type="cellIs" dxfId="13" priority="2" stopIfTrue="1" operator="equal">
      <formula>"a"</formula>
    </cfRule>
    <cfRule type="cellIs" dxfId="12" priority="3" stopIfTrue="1" operator="equal">
      <formula>"r"</formula>
    </cfRule>
  </conditionalFormatting>
  <dataValidations count="1">
    <dataValidation type="list" allowBlank="1" showInputMessage="1" showErrorMessage="1" sqref="G12:H42 O12:P42 M6 G6" xr:uid="{7C74D25C-761A-4467-A276-FA7474F2497A}">
      <formula1>Jain</formula1>
    </dataValidation>
  </dataValidations>
  <pageMargins left="0.78740157480314965" right="0.78740157480314965" top="0.98425196850393704" bottom="0.98425196850393704" header="0.51181102362204722" footer="0.51181102362204722"/>
  <pageSetup paperSize="9" scale="70" fitToWidth="2" orientation="landscape" r:id="rId1"/>
  <headerFooter alignWithMargins="0"/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A34CB-9AE2-4711-9D87-157D76E81A80}">
  <sheetPr>
    <pageSetUpPr fitToPage="1"/>
  </sheetPr>
  <dimension ref="C2:N45"/>
  <sheetViews>
    <sheetView zoomScaleNormal="100" workbookViewId="0">
      <selection activeCell="D4" sqref="D4"/>
    </sheetView>
  </sheetViews>
  <sheetFormatPr baseColWidth="10" defaultRowHeight="13.5" customHeight="1" x14ac:dyDescent="0.2"/>
  <cols>
    <col min="1" max="2" width="2.5703125" style="5" customWidth="1"/>
    <col min="3" max="3" width="42.5703125" style="5" customWidth="1"/>
    <col min="4" max="4" width="41.7109375" style="5" customWidth="1"/>
    <col min="5" max="5" width="22.140625" style="5" bestFit="1" customWidth="1"/>
    <col min="6" max="6" width="18.85546875" style="5" bestFit="1" customWidth="1"/>
    <col min="7" max="8" width="14.140625" style="5" customWidth="1"/>
    <col min="9" max="9" width="2.5703125" style="5" customWidth="1"/>
    <col min="10" max="10" width="1.5703125" style="5" customWidth="1"/>
    <col min="11" max="11" width="12.42578125" style="5" bestFit="1" customWidth="1"/>
    <col min="12" max="16384" width="11.42578125" style="5"/>
  </cols>
  <sheetData>
    <row r="2" spans="3:14" ht="13.5" customHeight="1" x14ac:dyDescent="0.2">
      <c r="C2" s="4" t="str">
        <f>VLOOKUP("#0053",translation,code,FALSE)</f>
        <v>Mischsystem mit mehreren miteinander gemischten Basen</v>
      </c>
      <c r="E2" s="26" t="str">
        <f>IF($E$43=0,"",IF($E$43&lt;&gt;100,IF(Information!$F$2=Text!$B$1,Text!$B$59,Text!$C$59),""))</f>
        <v/>
      </c>
    </row>
    <row r="4" spans="3:14" ht="13.5" customHeight="1" x14ac:dyDescent="0.2">
      <c r="C4" s="5" t="str">
        <f>VLOOKUP("#0015",translation,code,FALSE)</f>
        <v>Handelsname der Produkts:</v>
      </c>
      <c r="D4" s="55"/>
    </row>
    <row r="5" spans="3:14" ht="25.5" x14ac:dyDescent="0.2">
      <c r="E5" s="67" t="str">
        <f>VLOOKUP("#0056",translation,code,FALSE)</f>
        <v>Mischungsverhältnis
[%]</v>
      </c>
      <c r="H5" s="67" t="str">
        <f>VLOOKUP("#0046",translation,code,FALSE)</f>
        <v>VOC
[Gew.-%]</v>
      </c>
    </row>
    <row r="6" spans="3:14" ht="13.5" customHeight="1" x14ac:dyDescent="0.2">
      <c r="C6" s="5" t="str">
        <f>VLOOKUP("#0041",translation,code,FALSE)</f>
        <v>Basis 1</v>
      </c>
      <c r="D6" s="55"/>
      <c r="E6" s="55"/>
      <c r="H6" s="55"/>
    </row>
    <row r="7" spans="3:14" ht="13.5" customHeight="1" x14ac:dyDescent="0.2">
      <c r="C7" s="5" t="str">
        <f>VLOOKUP("#0042",translation,code,FALSE)</f>
        <v>Basis 2</v>
      </c>
      <c r="D7" s="55"/>
      <c r="E7" s="55"/>
      <c r="H7" s="55"/>
    </row>
    <row r="8" spans="3:14" ht="13.5" customHeight="1" x14ac:dyDescent="0.2">
      <c r="C8" s="5" t="str">
        <f>VLOOKUP("#0043",translation,code,FALSE)</f>
        <v>Basis 3</v>
      </c>
      <c r="D8" s="55"/>
      <c r="E8" s="55"/>
      <c r="H8" s="55"/>
    </row>
    <row r="10" spans="3:14" ht="51" x14ac:dyDescent="0.2">
      <c r="C10" s="67" t="str">
        <f>VLOOKUP("#0032",translation,code,FALSE)</f>
        <v>Substanz-/Handelsname
(wie im Sicherheitsdatenblatt
angegeben oder IUPAC Name)</v>
      </c>
      <c r="D10" s="67" t="str">
        <f>VLOOKUP("#0033",translation,code,FALSE)</f>
        <v>Hersteller / Lieferant</v>
      </c>
      <c r="E10" s="67" t="str">
        <f>VLOOKUP("#0045",translation,code,FALSE)</f>
        <v>Einsatzmenge in
der fertigen Farbe
[Gew.-%]</v>
      </c>
      <c r="F10" s="67" t="str">
        <f>VLOOKUP("#0035",translation,code,FALSE)</f>
        <v>SDS
beige-
fügt?</v>
      </c>
      <c r="G10" s="67" t="str">
        <f>VLOOKUP("#0036",translation,code,FALSE)</f>
        <v>Chemikalien-
erklärung
beigefügt?</v>
      </c>
      <c r="H10" s="67" t="str">
        <f>VLOOKUP("#0046",translation,code,FALSE)</f>
        <v>VOC
[Gew.-%]</v>
      </c>
      <c r="I10" s="59"/>
      <c r="K10" s="67" t="str">
        <f>VLOOKUP("#0047",translation,code,FALSE)</f>
        <v>VOC mit
Basis 1
[Gew.-%]</v>
      </c>
      <c r="L10" s="67" t="str">
        <f>VLOOKUP("#0048",translation,code,FALSE)</f>
        <v>VOC mit
Basis 2
[Gew.-%]</v>
      </c>
      <c r="M10" s="67" t="str">
        <f>VLOOKUP("#0049",translation,code,FALSE)</f>
        <v>VOC mit
Basis 3
[Gew.-%]</v>
      </c>
      <c r="N10" s="67" t="str">
        <f>VLOOKUP("#0050",translation,code,FALSE)</f>
        <v>VOC mit
allen Basen
[Gew.-%]</v>
      </c>
    </row>
    <row r="11" spans="3:14" ht="13.5" customHeight="1" x14ac:dyDescent="0.2">
      <c r="C11" s="56"/>
      <c r="D11" s="66"/>
      <c r="E11" s="56"/>
      <c r="F11" s="54"/>
      <c r="G11" s="58"/>
      <c r="H11" s="58"/>
      <c r="I11" s="60"/>
      <c r="K11" s="58"/>
      <c r="L11" s="58"/>
      <c r="M11" s="58"/>
      <c r="N11" s="58"/>
    </row>
    <row r="12" spans="3:14" ht="13.5" customHeight="1" x14ac:dyDescent="0.2">
      <c r="C12" s="55"/>
      <c r="D12" s="55"/>
      <c r="E12" s="55"/>
      <c r="F12" s="55"/>
      <c r="G12" s="55"/>
      <c r="H12" s="55"/>
      <c r="I12" s="35"/>
      <c r="K12" s="72" t="str">
        <f>IF($C12="","",((100-$E12)/100*$H$6+$E12/100*$H12)*$E$6/100)</f>
        <v/>
      </c>
      <c r="L12" s="72" t="str">
        <f>IF($C12="","",((100-$E12)/100*$H$6+$E12/100*$H12)*$E$7/100)</f>
        <v/>
      </c>
      <c r="M12" s="72" t="str">
        <f>IF($C12="","",((100-$E12)/100*$H$6+$E12/100*$H12)*$E$8/100)</f>
        <v/>
      </c>
      <c r="N12" s="72" t="str">
        <f>IF($C12="","",SUM(K12:M12))</f>
        <v/>
      </c>
    </row>
    <row r="13" spans="3:14" ht="13.5" customHeight="1" x14ac:dyDescent="0.2">
      <c r="C13" s="55"/>
      <c r="D13" s="55"/>
      <c r="E13" s="55"/>
      <c r="F13" s="55"/>
      <c r="G13" s="55"/>
      <c r="H13" s="55"/>
      <c r="I13" s="35"/>
      <c r="K13" s="72" t="str">
        <f t="shared" ref="K13:K42" si="0">IF($C13="","",((100-$E13)/100*$H$6+$E13/100*$H13)*$E$6/100)</f>
        <v/>
      </c>
      <c r="L13" s="72" t="str">
        <f t="shared" ref="L13:L42" si="1">IF($C13="","",((100-$E13)/100*$H$6+$E13/100*$H13)*$E$7/100)</f>
        <v/>
      </c>
      <c r="M13" s="72" t="str">
        <f t="shared" ref="M13:M42" si="2">IF($C13="","",((100-$E13)/100*$H$6+$E13/100*$H13)*$E$8/100)</f>
        <v/>
      </c>
      <c r="N13" s="72" t="str">
        <f t="shared" ref="N13:N42" si="3">IF($C13="","",SUM(K13:M13))</f>
        <v/>
      </c>
    </row>
    <row r="14" spans="3:14" ht="13.5" customHeight="1" x14ac:dyDescent="0.2">
      <c r="C14" s="55"/>
      <c r="D14" s="55"/>
      <c r="E14" s="55"/>
      <c r="F14" s="55"/>
      <c r="G14" s="55"/>
      <c r="H14" s="55"/>
      <c r="I14" s="35"/>
      <c r="K14" s="72" t="str">
        <f t="shared" si="0"/>
        <v/>
      </c>
      <c r="L14" s="72" t="str">
        <f t="shared" si="1"/>
        <v/>
      </c>
      <c r="M14" s="72" t="str">
        <f t="shared" si="2"/>
        <v/>
      </c>
      <c r="N14" s="72" t="str">
        <f t="shared" si="3"/>
        <v/>
      </c>
    </row>
    <row r="15" spans="3:14" ht="13.5" customHeight="1" x14ac:dyDescent="0.2">
      <c r="C15" s="55"/>
      <c r="D15" s="55"/>
      <c r="E15" s="55"/>
      <c r="F15" s="55"/>
      <c r="G15" s="55"/>
      <c r="H15" s="55"/>
      <c r="I15" s="35"/>
      <c r="K15" s="72" t="str">
        <f t="shared" si="0"/>
        <v/>
      </c>
      <c r="L15" s="72" t="str">
        <f t="shared" si="1"/>
        <v/>
      </c>
      <c r="M15" s="72" t="str">
        <f t="shared" si="2"/>
        <v/>
      </c>
      <c r="N15" s="72" t="str">
        <f t="shared" si="3"/>
        <v/>
      </c>
    </row>
    <row r="16" spans="3:14" ht="13.5" customHeight="1" x14ac:dyDescent="0.2">
      <c r="C16" s="55"/>
      <c r="D16" s="55"/>
      <c r="E16" s="55"/>
      <c r="F16" s="55"/>
      <c r="G16" s="55"/>
      <c r="H16" s="55"/>
      <c r="I16" s="35"/>
      <c r="K16" s="72" t="str">
        <f t="shared" si="0"/>
        <v/>
      </c>
      <c r="L16" s="72" t="str">
        <f t="shared" si="1"/>
        <v/>
      </c>
      <c r="M16" s="72" t="str">
        <f t="shared" si="2"/>
        <v/>
      </c>
      <c r="N16" s="72" t="str">
        <f t="shared" si="3"/>
        <v/>
      </c>
    </row>
    <row r="17" spans="3:14" ht="13.5" customHeight="1" x14ac:dyDescent="0.2">
      <c r="C17" s="55"/>
      <c r="D17" s="55"/>
      <c r="E17" s="55"/>
      <c r="F17" s="55"/>
      <c r="G17" s="55"/>
      <c r="H17" s="55"/>
      <c r="I17" s="35"/>
      <c r="K17" s="72" t="str">
        <f t="shared" si="0"/>
        <v/>
      </c>
      <c r="L17" s="72" t="str">
        <f t="shared" si="1"/>
        <v/>
      </c>
      <c r="M17" s="72" t="str">
        <f t="shared" si="2"/>
        <v/>
      </c>
      <c r="N17" s="72" t="str">
        <f t="shared" si="3"/>
        <v/>
      </c>
    </row>
    <row r="18" spans="3:14" ht="13.5" customHeight="1" x14ac:dyDescent="0.2">
      <c r="C18" s="55"/>
      <c r="D18" s="55"/>
      <c r="E18" s="55"/>
      <c r="F18" s="55"/>
      <c r="G18" s="55"/>
      <c r="H18" s="55"/>
      <c r="I18" s="35"/>
      <c r="K18" s="72" t="str">
        <f t="shared" si="0"/>
        <v/>
      </c>
      <c r="L18" s="72" t="str">
        <f t="shared" si="1"/>
        <v/>
      </c>
      <c r="M18" s="72" t="str">
        <f t="shared" si="2"/>
        <v/>
      </c>
      <c r="N18" s="72" t="str">
        <f t="shared" si="3"/>
        <v/>
      </c>
    </row>
    <row r="19" spans="3:14" ht="13.5" customHeight="1" x14ac:dyDescent="0.2">
      <c r="C19" s="55"/>
      <c r="D19" s="55"/>
      <c r="E19" s="55"/>
      <c r="F19" s="55"/>
      <c r="G19" s="55"/>
      <c r="H19" s="55"/>
      <c r="I19" s="35"/>
      <c r="K19" s="72" t="str">
        <f t="shared" si="0"/>
        <v/>
      </c>
      <c r="L19" s="72" t="str">
        <f t="shared" si="1"/>
        <v/>
      </c>
      <c r="M19" s="72" t="str">
        <f t="shared" si="2"/>
        <v/>
      </c>
      <c r="N19" s="72" t="str">
        <f t="shared" si="3"/>
        <v/>
      </c>
    </row>
    <row r="20" spans="3:14" ht="13.5" customHeight="1" x14ac:dyDescent="0.2">
      <c r="C20" s="55"/>
      <c r="D20" s="55"/>
      <c r="E20" s="55"/>
      <c r="F20" s="55"/>
      <c r="G20" s="55"/>
      <c r="H20" s="55"/>
      <c r="I20" s="35"/>
      <c r="K20" s="72" t="str">
        <f t="shared" si="0"/>
        <v/>
      </c>
      <c r="L20" s="72" t="str">
        <f t="shared" si="1"/>
        <v/>
      </c>
      <c r="M20" s="72" t="str">
        <f t="shared" si="2"/>
        <v/>
      </c>
      <c r="N20" s="72" t="str">
        <f t="shared" si="3"/>
        <v/>
      </c>
    </row>
    <row r="21" spans="3:14" ht="13.5" customHeight="1" x14ac:dyDescent="0.2">
      <c r="C21" s="55"/>
      <c r="D21" s="55"/>
      <c r="E21" s="55"/>
      <c r="F21" s="55"/>
      <c r="G21" s="55"/>
      <c r="H21" s="55"/>
      <c r="I21" s="35"/>
      <c r="K21" s="72" t="str">
        <f t="shared" si="0"/>
        <v/>
      </c>
      <c r="L21" s="72" t="str">
        <f t="shared" si="1"/>
        <v/>
      </c>
      <c r="M21" s="72" t="str">
        <f t="shared" si="2"/>
        <v/>
      </c>
      <c r="N21" s="72" t="str">
        <f t="shared" si="3"/>
        <v/>
      </c>
    </row>
    <row r="22" spans="3:14" ht="13.5" customHeight="1" x14ac:dyDescent="0.2">
      <c r="C22" s="55"/>
      <c r="D22" s="55"/>
      <c r="E22" s="55"/>
      <c r="F22" s="55"/>
      <c r="G22" s="55"/>
      <c r="H22" s="55"/>
      <c r="I22" s="35"/>
      <c r="K22" s="72" t="str">
        <f t="shared" si="0"/>
        <v/>
      </c>
      <c r="L22" s="72" t="str">
        <f t="shared" si="1"/>
        <v/>
      </c>
      <c r="M22" s="72" t="str">
        <f t="shared" si="2"/>
        <v/>
      </c>
      <c r="N22" s="72" t="str">
        <f t="shared" si="3"/>
        <v/>
      </c>
    </row>
    <row r="23" spans="3:14" ht="13.5" customHeight="1" x14ac:dyDescent="0.2">
      <c r="C23" s="55"/>
      <c r="D23" s="55"/>
      <c r="E23" s="55"/>
      <c r="F23" s="55"/>
      <c r="G23" s="55"/>
      <c r="H23" s="55"/>
      <c r="I23" s="35"/>
      <c r="K23" s="72" t="str">
        <f t="shared" si="0"/>
        <v/>
      </c>
      <c r="L23" s="72" t="str">
        <f t="shared" si="1"/>
        <v/>
      </c>
      <c r="M23" s="72" t="str">
        <f t="shared" si="2"/>
        <v/>
      </c>
      <c r="N23" s="72" t="str">
        <f t="shared" si="3"/>
        <v/>
      </c>
    </row>
    <row r="24" spans="3:14" ht="13.5" customHeight="1" x14ac:dyDescent="0.2">
      <c r="C24" s="55"/>
      <c r="D24" s="55"/>
      <c r="E24" s="55"/>
      <c r="F24" s="55"/>
      <c r="G24" s="55"/>
      <c r="H24" s="55"/>
      <c r="I24" s="35"/>
      <c r="K24" s="72" t="str">
        <f t="shared" si="0"/>
        <v/>
      </c>
      <c r="L24" s="72" t="str">
        <f t="shared" si="1"/>
        <v/>
      </c>
      <c r="M24" s="72" t="str">
        <f t="shared" si="2"/>
        <v/>
      </c>
      <c r="N24" s="72" t="str">
        <f t="shared" si="3"/>
        <v/>
      </c>
    </row>
    <row r="25" spans="3:14" ht="13.5" customHeight="1" x14ac:dyDescent="0.2">
      <c r="C25" s="55"/>
      <c r="D25" s="55"/>
      <c r="E25" s="55"/>
      <c r="F25" s="55"/>
      <c r="G25" s="55"/>
      <c r="H25" s="55"/>
      <c r="I25" s="35"/>
      <c r="K25" s="72" t="str">
        <f t="shared" si="0"/>
        <v/>
      </c>
      <c r="L25" s="72" t="str">
        <f t="shared" si="1"/>
        <v/>
      </c>
      <c r="M25" s="72" t="str">
        <f t="shared" si="2"/>
        <v/>
      </c>
      <c r="N25" s="72" t="str">
        <f t="shared" si="3"/>
        <v/>
      </c>
    </row>
    <row r="26" spans="3:14" ht="13.5" customHeight="1" x14ac:dyDescent="0.2">
      <c r="C26" s="55"/>
      <c r="D26" s="55"/>
      <c r="E26" s="55"/>
      <c r="F26" s="55"/>
      <c r="G26" s="55"/>
      <c r="H26" s="55"/>
      <c r="I26" s="35"/>
      <c r="K26" s="72" t="str">
        <f t="shared" si="0"/>
        <v/>
      </c>
      <c r="L26" s="72" t="str">
        <f t="shared" si="1"/>
        <v/>
      </c>
      <c r="M26" s="72" t="str">
        <f t="shared" si="2"/>
        <v/>
      </c>
      <c r="N26" s="72" t="str">
        <f t="shared" si="3"/>
        <v/>
      </c>
    </row>
    <row r="27" spans="3:14" ht="13.5" customHeight="1" x14ac:dyDescent="0.2">
      <c r="C27" s="55"/>
      <c r="D27" s="55"/>
      <c r="E27" s="55"/>
      <c r="F27" s="55"/>
      <c r="G27" s="55"/>
      <c r="H27" s="55"/>
      <c r="I27" s="35"/>
      <c r="K27" s="72" t="str">
        <f t="shared" si="0"/>
        <v/>
      </c>
      <c r="L27" s="72" t="str">
        <f t="shared" si="1"/>
        <v/>
      </c>
      <c r="M27" s="72" t="str">
        <f t="shared" si="2"/>
        <v/>
      </c>
      <c r="N27" s="72" t="str">
        <f t="shared" si="3"/>
        <v/>
      </c>
    </row>
    <row r="28" spans="3:14" ht="13.5" customHeight="1" x14ac:dyDescent="0.2">
      <c r="C28" s="55"/>
      <c r="D28" s="55"/>
      <c r="E28" s="55"/>
      <c r="F28" s="55"/>
      <c r="G28" s="55"/>
      <c r="H28" s="55"/>
      <c r="I28" s="35"/>
      <c r="K28" s="72" t="str">
        <f t="shared" si="0"/>
        <v/>
      </c>
      <c r="L28" s="72" t="str">
        <f t="shared" si="1"/>
        <v/>
      </c>
      <c r="M28" s="72" t="str">
        <f t="shared" si="2"/>
        <v/>
      </c>
      <c r="N28" s="72" t="str">
        <f t="shared" si="3"/>
        <v/>
      </c>
    </row>
    <row r="29" spans="3:14" ht="13.5" customHeight="1" x14ac:dyDescent="0.2">
      <c r="C29" s="55"/>
      <c r="D29" s="55"/>
      <c r="E29" s="55"/>
      <c r="F29" s="55"/>
      <c r="G29" s="55"/>
      <c r="H29" s="55"/>
      <c r="I29" s="35"/>
      <c r="K29" s="72" t="str">
        <f t="shared" si="0"/>
        <v/>
      </c>
      <c r="L29" s="72" t="str">
        <f t="shared" si="1"/>
        <v/>
      </c>
      <c r="M29" s="72" t="str">
        <f t="shared" si="2"/>
        <v/>
      </c>
      <c r="N29" s="72" t="str">
        <f t="shared" si="3"/>
        <v/>
      </c>
    </row>
    <row r="30" spans="3:14" ht="13.5" customHeight="1" x14ac:dyDescent="0.2">
      <c r="C30" s="55"/>
      <c r="D30" s="55"/>
      <c r="E30" s="55"/>
      <c r="F30" s="55"/>
      <c r="G30" s="55"/>
      <c r="H30" s="55"/>
      <c r="I30" s="35"/>
      <c r="K30" s="72" t="str">
        <f t="shared" si="0"/>
        <v/>
      </c>
      <c r="L30" s="72" t="str">
        <f t="shared" si="1"/>
        <v/>
      </c>
      <c r="M30" s="72" t="str">
        <f t="shared" si="2"/>
        <v/>
      </c>
      <c r="N30" s="72" t="str">
        <f t="shared" si="3"/>
        <v/>
      </c>
    </row>
    <row r="31" spans="3:14" ht="13.5" customHeight="1" x14ac:dyDescent="0.2">
      <c r="C31" s="55"/>
      <c r="D31" s="55"/>
      <c r="E31" s="55"/>
      <c r="F31" s="55"/>
      <c r="G31" s="55"/>
      <c r="H31" s="55"/>
      <c r="I31" s="35"/>
      <c r="K31" s="72" t="str">
        <f t="shared" si="0"/>
        <v/>
      </c>
      <c r="L31" s="72" t="str">
        <f t="shared" si="1"/>
        <v/>
      </c>
      <c r="M31" s="72" t="str">
        <f t="shared" si="2"/>
        <v/>
      </c>
      <c r="N31" s="72" t="str">
        <f t="shared" si="3"/>
        <v/>
      </c>
    </row>
    <row r="32" spans="3:14" ht="13.5" customHeight="1" x14ac:dyDescent="0.2">
      <c r="C32" s="55"/>
      <c r="D32" s="55"/>
      <c r="E32" s="55"/>
      <c r="F32" s="55"/>
      <c r="G32" s="55"/>
      <c r="H32" s="55"/>
      <c r="I32" s="35"/>
      <c r="K32" s="72" t="str">
        <f t="shared" si="0"/>
        <v/>
      </c>
      <c r="L32" s="72" t="str">
        <f t="shared" si="1"/>
        <v/>
      </c>
      <c r="M32" s="72" t="str">
        <f t="shared" si="2"/>
        <v/>
      </c>
      <c r="N32" s="72" t="str">
        <f t="shared" si="3"/>
        <v/>
      </c>
    </row>
    <row r="33" spans="3:14" ht="13.5" customHeight="1" x14ac:dyDescent="0.2">
      <c r="C33" s="55"/>
      <c r="D33" s="55"/>
      <c r="E33" s="55"/>
      <c r="F33" s="55"/>
      <c r="G33" s="55"/>
      <c r="H33" s="55"/>
      <c r="I33" s="35"/>
      <c r="K33" s="72" t="str">
        <f t="shared" si="0"/>
        <v/>
      </c>
      <c r="L33" s="72" t="str">
        <f t="shared" si="1"/>
        <v/>
      </c>
      <c r="M33" s="72" t="str">
        <f t="shared" si="2"/>
        <v/>
      </c>
      <c r="N33" s="72" t="str">
        <f t="shared" si="3"/>
        <v/>
      </c>
    </row>
    <row r="34" spans="3:14" ht="13.5" customHeight="1" x14ac:dyDescent="0.2">
      <c r="C34" s="55"/>
      <c r="D34" s="55"/>
      <c r="E34" s="55"/>
      <c r="F34" s="55"/>
      <c r="G34" s="55"/>
      <c r="H34" s="55"/>
      <c r="I34" s="35"/>
      <c r="K34" s="72" t="str">
        <f t="shared" si="0"/>
        <v/>
      </c>
      <c r="L34" s="72" t="str">
        <f t="shared" si="1"/>
        <v/>
      </c>
      <c r="M34" s="72" t="str">
        <f t="shared" si="2"/>
        <v/>
      </c>
      <c r="N34" s="72" t="str">
        <f t="shared" si="3"/>
        <v/>
      </c>
    </row>
    <row r="35" spans="3:14" ht="13.5" customHeight="1" x14ac:dyDescent="0.2">
      <c r="C35" s="55"/>
      <c r="D35" s="55"/>
      <c r="E35" s="55"/>
      <c r="F35" s="55"/>
      <c r="G35" s="55"/>
      <c r="H35" s="55"/>
      <c r="I35" s="35"/>
      <c r="K35" s="72" t="str">
        <f t="shared" si="0"/>
        <v/>
      </c>
      <c r="L35" s="72" t="str">
        <f t="shared" si="1"/>
        <v/>
      </c>
      <c r="M35" s="72" t="str">
        <f t="shared" si="2"/>
        <v/>
      </c>
      <c r="N35" s="72" t="str">
        <f t="shared" si="3"/>
        <v/>
      </c>
    </row>
    <row r="36" spans="3:14" ht="13.5" customHeight="1" x14ac:dyDescent="0.2">
      <c r="C36" s="55"/>
      <c r="D36" s="55"/>
      <c r="E36" s="55"/>
      <c r="F36" s="55"/>
      <c r="G36" s="55"/>
      <c r="H36" s="55"/>
      <c r="I36" s="35"/>
      <c r="K36" s="72" t="str">
        <f t="shared" si="0"/>
        <v/>
      </c>
      <c r="L36" s="72" t="str">
        <f t="shared" si="1"/>
        <v/>
      </c>
      <c r="M36" s="72" t="str">
        <f t="shared" si="2"/>
        <v/>
      </c>
      <c r="N36" s="72" t="str">
        <f t="shared" si="3"/>
        <v/>
      </c>
    </row>
    <row r="37" spans="3:14" ht="13.5" customHeight="1" x14ac:dyDescent="0.2">
      <c r="C37" s="55"/>
      <c r="D37" s="55"/>
      <c r="E37" s="55"/>
      <c r="F37" s="55"/>
      <c r="G37" s="55"/>
      <c r="H37" s="55"/>
      <c r="I37" s="35"/>
      <c r="K37" s="72" t="str">
        <f t="shared" si="0"/>
        <v/>
      </c>
      <c r="L37" s="72" t="str">
        <f t="shared" si="1"/>
        <v/>
      </c>
      <c r="M37" s="72" t="str">
        <f t="shared" si="2"/>
        <v/>
      </c>
      <c r="N37" s="72" t="str">
        <f t="shared" si="3"/>
        <v/>
      </c>
    </row>
    <row r="38" spans="3:14" ht="13.5" customHeight="1" x14ac:dyDescent="0.2">
      <c r="C38" s="55"/>
      <c r="D38" s="55"/>
      <c r="E38" s="55"/>
      <c r="F38" s="55"/>
      <c r="G38" s="55"/>
      <c r="H38" s="55"/>
      <c r="I38" s="35"/>
      <c r="K38" s="72" t="str">
        <f t="shared" si="0"/>
        <v/>
      </c>
      <c r="L38" s="72" t="str">
        <f t="shared" si="1"/>
        <v/>
      </c>
      <c r="M38" s="72" t="str">
        <f t="shared" si="2"/>
        <v/>
      </c>
      <c r="N38" s="72" t="str">
        <f t="shared" si="3"/>
        <v/>
      </c>
    </row>
    <row r="39" spans="3:14" ht="13.5" customHeight="1" x14ac:dyDescent="0.2">
      <c r="C39" s="55"/>
      <c r="D39" s="55"/>
      <c r="E39" s="55"/>
      <c r="F39" s="55"/>
      <c r="G39" s="55"/>
      <c r="H39" s="55"/>
      <c r="I39" s="35"/>
      <c r="K39" s="72" t="str">
        <f t="shared" si="0"/>
        <v/>
      </c>
      <c r="L39" s="72" t="str">
        <f t="shared" si="1"/>
        <v/>
      </c>
      <c r="M39" s="72" t="str">
        <f t="shared" si="2"/>
        <v/>
      </c>
      <c r="N39" s="72" t="str">
        <f t="shared" si="3"/>
        <v/>
      </c>
    </row>
    <row r="40" spans="3:14" ht="13.5" customHeight="1" x14ac:dyDescent="0.2">
      <c r="C40" s="55"/>
      <c r="D40" s="55"/>
      <c r="E40" s="55"/>
      <c r="F40" s="55"/>
      <c r="G40" s="55"/>
      <c r="H40" s="55"/>
      <c r="I40" s="35"/>
      <c r="K40" s="72" t="str">
        <f t="shared" si="0"/>
        <v/>
      </c>
      <c r="L40" s="72" t="str">
        <f t="shared" si="1"/>
        <v/>
      </c>
      <c r="M40" s="72" t="str">
        <f t="shared" si="2"/>
        <v/>
      </c>
      <c r="N40" s="72" t="str">
        <f t="shared" si="3"/>
        <v/>
      </c>
    </row>
    <row r="41" spans="3:14" ht="13.5" customHeight="1" x14ac:dyDescent="0.2">
      <c r="C41" s="55"/>
      <c r="D41" s="55"/>
      <c r="E41" s="55"/>
      <c r="F41" s="55"/>
      <c r="G41" s="55"/>
      <c r="H41" s="55"/>
      <c r="I41" s="35"/>
      <c r="K41" s="72" t="str">
        <f t="shared" si="0"/>
        <v/>
      </c>
      <c r="L41" s="72" t="str">
        <f t="shared" si="1"/>
        <v/>
      </c>
      <c r="M41" s="72" t="str">
        <f t="shared" si="2"/>
        <v/>
      </c>
      <c r="N41" s="72" t="str">
        <f t="shared" si="3"/>
        <v/>
      </c>
    </row>
    <row r="42" spans="3:14" ht="13.5" customHeight="1" x14ac:dyDescent="0.2">
      <c r="C42" s="55"/>
      <c r="D42" s="55"/>
      <c r="E42" s="55"/>
      <c r="F42" s="55"/>
      <c r="G42" s="55"/>
      <c r="H42" s="55"/>
      <c r="I42" s="35"/>
      <c r="K42" s="72" t="str">
        <f t="shared" si="0"/>
        <v/>
      </c>
      <c r="L42" s="72" t="str">
        <f t="shared" si="1"/>
        <v/>
      </c>
      <c r="M42" s="72" t="str">
        <f t="shared" si="2"/>
        <v/>
      </c>
      <c r="N42" s="72" t="str">
        <f t="shared" si="3"/>
        <v/>
      </c>
    </row>
    <row r="43" spans="3:14" ht="13.5" customHeight="1" x14ac:dyDescent="0.2">
      <c r="C43" s="39"/>
      <c r="D43" s="39"/>
      <c r="E43" s="57">
        <f>SUM(E6:E8)</f>
        <v>0</v>
      </c>
      <c r="G43" s="39"/>
      <c r="H43" s="39"/>
      <c r="I43" s="35"/>
    </row>
    <row r="44" spans="3:14" ht="13.5" customHeight="1" x14ac:dyDescent="0.2">
      <c r="G44" s="1"/>
      <c r="H44" s="1"/>
      <c r="I44" s="1"/>
    </row>
    <row r="45" spans="3:14" ht="13.5" customHeight="1" x14ac:dyDescent="0.2">
      <c r="G45" s="1"/>
      <c r="H45" s="1"/>
      <c r="I45" s="1"/>
    </row>
  </sheetData>
  <sheetProtection algorithmName="SHA-512" hashValue="XTsQnMJ0ikQr2VA9MNvcpOaGSNoSNSfmzqp832djl/Ie7q7laUno4FslPP2vm8HzSMppIBi/xa0TT/f1Xjn0Uw==" saltValue="HSKDybMPDKuahtzu0Fp6zQ==" spinCount="100000" sheet="1" objects="1" scenarios="1" selectLockedCells="1"/>
  <conditionalFormatting sqref="E43">
    <cfRule type="cellIs" dxfId="11" priority="11" operator="greaterThan">
      <formula>100</formula>
    </cfRule>
    <cfRule type="cellIs" dxfId="10" priority="12" operator="equal">
      <formula>100</formula>
    </cfRule>
    <cfRule type="cellIs" dxfId="9" priority="13" operator="lessThan">
      <formula>100</formula>
    </cfRule>
  </conditionalFormatting>
  <conditionalFormatting sqref="I10:I11">
    <cfRule type="cellIs" dxfId="8" priority="14" operator="equal">
      <formula>"a"</formula>
    </cfRule>
  </conditionalFormatting>
  <conditionalFormatting sqref="I12:I43">
    <cfRule type="cellIs" dxfId="7" priority="2" stopIfTrue="1" operator="equal">
      <formula>"a"</formula>
    </cfRule>
    <cfRule type="cellIs" dxfId="6" priority="3" stopIfTrue="1" operator="equal">
      <formula>"r"</formula>
    </cfRule>
  </conditionalFormatting>
  <conditionalFormatting sqref="N12:N42">
    <cfRule type="cellIs" dxfId="5" priority="4" operator="equal">
      <formula>""</formula>
    </cfRule>
    <cfRule type="cellIs" dxfId="4" priority="5" operator="greaterThan">
      <formula>1.5</formula>
    </cfRule>
    <cfRule type="cellIs" dxfId="3" priority="6" operator="lessThanOrEqual">
      <formula>1.5</formula>
    </cfRule>
  </conditionalFormatting>
  <dataValidations count="1">
    <dataValidation type="list" allowBlank="1" showInputMessage="1" showErrorMessage="1" sqref="F12:G42" xr:uid="{7DE75E57-F884-4D04-8E53-F649EFF5F45B}">
      <formula1>Jain</formula1>
    </dataValidation>
  </dataValidations>
  <pageMargins left="0.78740157480314965" right="0.78740157480314965" top="0.98425196850393704" bottom="0.98425196850393704" header="0.51181102362204722" footer="0.51181102362204722"/>
  <pageSetup paperSize="9" scale="61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7">
    <pageSetUpPr fitToPage="1"/>
  </sheetPr>
  <dimension ref="B2:D17"/>
  <sheetViews>
    <sheetView zoomScaleNormal="100" workbookViewId="0">
      <selection activeCell="D17" sqref="D17"/>
    </sheetView>
  </sheetViews>
  <sheetFormatPr baseColWidth="10" defaultColWidth="14.5703125" defaultRowHeight="13.5" customHeight="1" x14ac:dyDescent="0.2"/>
  <cols>
    <col min="1" max="1" width="2.5703125" style="2" customWidth="1"/>
    <col min="2" max="2" width="97.7109375" style="2" bestFit="1" customWidth="1"/>
    <col min="3" max="3" width="4.28515625" style="89" customWidth="1"/>
    <col min="4" max="4" width="88.42578125" style="2" customWidth="1"/>
    <col min="5" max="5" width="14.5703125" style="2" customWidth="1"/>
    <col min="6" max="16384" width="14.5703125" style="2"/>
  </cols>
  <sheetData>
    <row r="2" spans="2:4" ht="22.5" customHeight="1" x14ac:dyDescent="0.2">
      <c r="B2" s="97"/>
      <c r="C2" s="98"/>
      <c r="D2" s="76" t="str">
        <f>VLOOKUP("#0005",translation,code,FALSE)</f>
        <v>Anmerkung</v>
      </c>
    </row>
    <row r="3" spans="2:4" ht="22.5" customHeight="1" x14ac:dyDescent="0.2">
      <c r="B3" s="13" t="str">
        <f>VLOOKUP("#0141",translation,code,FALSE)</f>
        <v>Geltungsbereich</v>
      </c>
      <c r="C3" s="100" t="str">
        <f>IF(Information!G31="","",Information!G31)</f>
        <v/>
      </c>
      <c r="D3" s="77"/>
    </row>
    <row r="4" spans="2:4" ht="22.5" customHeight="1" x14ac:dyDescent="0.2">
      <c r="B4" s="13" t="str">
        <f>VLOOKUP("#0142",translation,code,FALSE)</f>
        <v>Erklärung über Einhaltung der Kriterien</v>
      </c>
      <c r="C4" s="100" t="str">
        <f>IF(Information!G58="","",Information!G58)</f>
        <v/>
      </c>
      <c r="D4" s="77"/>
    </row>
    <row r="5" spans="2:4" ht="22.5" customHeight="1" x14ac:dyDescent="0.2">
      <c r="B5" s="13" t="str">
        <f>VLOOKUP("#0061",translation,code,FALSE)</f>
        <v>Weitere Erklärungen</v>
      </c>
      <c r="C5" s="100" t="str">
        <f>IF(Information!G60="","",Information!G60)</f>
        <v/>
      </c>
      <c r="D5" s="77"/>
    </row>
    <row r="6" spans="2:4" ht="22.5" customHeight="1" x14ac:dyDescent="0.2">
      <c r="B6" s="13" t="str">
        <f>VLOOKUP("#0143",translation,code,FALSE)</f>
        <v>Hinweise</v>
      </c>
      <c r="C6" s="100" t="str">
        <f>IF(Information!O13="","",Information!O13)</f>
        <v/>
      </c>
      <c r="D6" s="77"/>
    </row>
    <row r="7" spans="2:4" ht="22.5" customHeight="1" x14ac:dyDescent="0.2">
      <c r="B7" s="13" t="str">
        <f>VLOOKUP("#0144",translation,code,FALSE)</f>
        <v>Zusätzliche Hinweise</v>
      </c>
      <c r="C7" s="100" t="str">
        <f>IF(Information!O41="","",Information!O41)</f>
        <v/>
      </c>
      <c r="D7" s="77"/>
    </row>
    <row r="8" spans="2:4" ht="22.5" customHeight="1" x14ac:dyDescent="0.2">
      <c r="B8" s="13" t="str">
        <f>VLOOKUP("#0101",translation,code,FALSE)</f>
        <v>Einzureichende Dokumente</v>
      </c>
      <c r="C8" s="100" t="str">
        <f>IF(Information!O53="","",Information!O53)</f>
        <v/>
      </c>
      <c r="D8" s="77"/>
    </row>
    <row r="9" spans="2:4" s="65" customFormat="1" ht="22.5" customHeight="1" x14ac:dyDescent="0.2">
      <c r="B9" s="13" t="str">
        <f>VLOOKUP("#0052",translation,code,FALSE)</f>
        <v>Rezeptur 1</v>
      </c>
      <c r="C9" s="100" t="str">
        <f>IF('Rezeptur - Composition 1'!$J$43="","",'Rezeptur - Composition 1'!$J$43)</f>
        <v/>
      </c>
      <c r="D9" s="77"/>
    </row>
    <row r="10" spans="2:4" ht="22.5" customHeight="1" x14ac:dyDescent="0.2">
      <c r="B10" s="13" t="str">
        <f>VLOOKUP("#0132",translation,code,FALSE)</f>
        <v>Rezeptur 2</v>
      </c>
      <c r="C10" s="100" t="str">
        <f>IF('Rezeptur - Composition 2'!$J$43="","",'Rezeptur - Composition 2'!$J$43)</f>
        <v/>
      </c>
      <c r="D10" s="77"/>
    </row>
    <row r="11" spans="2:4" s="65" customFormat="1" ht="22.5" customHeight="1" x14ac:dyDescent="0.2">
      <c r="B11" s="13" t="str">
        <f>VLOOKUP("#0133",translation,code,FALSE)</f>
        <v>Rezeptur 3</v>
      </c>
      <c r="C11" s="100" t="str">
        <f>IF('Rezeptur - Composition 3'!$J$43="","",'Rezeptur - Composition 3'!$J$43)</f>
        <v/>
      </c>
      <c r="D11" s="77"/>
    </row>
    <row r="12" spans="2:4" ht="22.5" customHeight="1" x14ac:dyDescent="0.2">
      <c r="B12" s="13" t="str">
        <f>VLOOKUP("#0131",translation,code,FALSE)</f>
        <v>Rezeptur 4</v>
      </c>
      <c r="C12" s="100" t="str">
        <f>IF('Rezeptur - Composition 4'!$J$43="","",'Rezeptur - Composition 4'!$J$43)</f>
        <v/>
      </c>
      <c r="D12" s="77"/>
    </row>
    <row r="13" spans="2:4" ht="22.5" customHeight="1" x14ac:dyDescent="0.2">
      <c r="B13" s="13" t="str">
        <f>VLOOKUP("#0145",translation,code,FALSE)</f>
        <v>Mischsystem 1</v>
      </c>
      <c r="C13" s="100" t="str">
        <f>IF('Rezeptur - Composition 1'!$S$43="","",'Rezeptur - Composition 1'!$S$43)</f>
        <v/>
      </c>
      <c r="D13" s="77"/>
    </row>
    <row r="14" spans="2:4" ht="22.5" customHeight="1" x14ac:dyDescent="0.2">
      <c r="B14" s="13" t="str">
        <f>VLOOKUP("#0146",translation,code,FALSE)</f>
        <v>Mischsystem 2</v>
      </c>
      <c r="C14" s="100" t="str">
        <f>IF('Rezeptur - Composition 2'!$S$43="","",'Rezeptur - Composition 2'!$S$43)</f>
        <v/>
      </c>
      <c r="D14" s="77"/>
    </row>
    <row r="15" spans="2:4" ht="22.5" customHeight="1" x14ac:dyDescent="0.2">
      <c r="B15" s="13" t="str">
        <f>VLOOKUP("#0147",translation,code,FALSE)</f>
        <v>Mischsystem 3</v>
      </c>
      <c r="C15" s="100" t="str">
        <f>IF('Rezeptur - Composition 3'!$S$43="","",'Rezeptur - Composition 3'!$S$43)</f>
        <v/>
      </c>
      <c r="D15" s="77"/>
    </row>
    <row r="16" spans="2:4" s="65" customFormat="1" ht="22.5" customHeight="1" x14ac:dyDescent="0.2">
      <c r="B16" s="13" t="str">
        <f>VLOOKUP("#0148",translation,code,FALSE)</f>
        <v>Mischsystem 4</v>
      </c>
      <c r="C16" s="100" t="str">
        <f>IF('Rezeptur - Composition 4'!$S$43="","",'Rezeptur - Composition 4'!$S$43)</f>
        <v/>
      </c>
      <c r="D16" s="77"/>
    </row>
    <row r="17" spans="2:4" ht="22.5" customHeight="1" x14ac:dyDescent="0.2">
      <c r="B17" s="13" t="str">
        <f>VLOOKUP("#0149",translation,code,FALSE)</f>
        <v>Mehrere Basen plus Mischsystem</v>
      </c>
      <c r="C17" s="100" t="str">
        <f>IF('Mischystem - Mixing System'!I43="","",'Mischystem - Mixing System'!I43)</f>
        <v/>
      </c>
      <c r="D17" s="77"/>
    </row>
  </sheetData>
  <sheetProtection algorithmName="SHA-512" hashValue="uqepbmJIaMSYbjS5TcZzsJhTDlwafPx3/AxHIkH1/sDqr16SpkkwjNU7eg668fXRuGpcl/SD4hemhdIToR2KTw==" saltValue="Qty31tZaqOJGOb8roOJOOA==" spinCount="100000" sheet="1" objects="1" scenarios="1" selectLockedCells="1"/>
  <phoneticPr fontId="1" type="noConversion"/>
  <conditionalFormatting sqref="C3:C17">
    <cfRule type="cellIs" dxfId="2" priority="94" stopIfTrue="1" operator="equal">
      <formula>"a"</formula>
    </cfRule>
    <cfRule type="cellIs" dxfId="1" priority="95" stopIfTrue="1" operator="equal">
      <formula>"r"</formula>
    </cfRule>
  </conditionalFormatting>
  <pageMargins left="0.78740157480314965" right="0.78740157480314965" top="0.98425196850393704" bottom="0.98425196850393704" header="0.51181102362204722" footer="0.51181102362204722"/>
  <pageSetup paperSize="9" scale="56" orientation="landscape" r:id="rId1"/>
  <headerFooter alignWithMargins="0"/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6F48A-E22A-4F23-9B1B-40584ED109F2}">
  <dimension ref="B2:D6"/>
  <sheetViews>
    <sheetView zoomScaleNormal="100" workbookViewId="0">
      <selection activeCell="D10" sqref="D10"/>
    </sheetView>
  </sheetViews>
  <sheetFormatPr baseColWidth="10" defaultRowHeight="13.5" customHeight="1" x14ac:dyDescent="0.2"/>
  <cols>
    <col min="1" max="1" width="2.5703125" style="65" customWidth="1"/>
    <col min="2" max="2" width="15.85546875" style="65" customWidth="1"/>
    <col min="3" max="3" width="59.5703125" style="8" customWidth="1"/>
    <col min="4" max="4" width="57.140625" style="8" customWidth="1"/>
    <col min="5" max="5" width="2.5703125" style="65" customWidth="1"/>
    <col min="6" max="16384" width="11.42578125" style="65"/>
  </cols>
  <sheetData>
    <row r="2" spans="2:4" ht="13.5" customHeight="1" x14ac:dyDescent="0.2">
      <c r="B2" s="64" t="s">
        <v>34</v>
      </c>
    </row>
    <row r="3" spans="2:4" ht="13.5" customHeight="1" x14ac:dyDescent="0.2">
      <c r="B3" s="64"/>
    </row>
    <row r="4" spans="2:4" ht="13.5" customHeight="1" x14ac:dyDescent="0.2">
      <c r="C4" s="78" t="s">
        <v>4</v>
      </c>
      <c r="D4" s="78" t="s">
        <v>35</v>
      </c>
    </row>
    <row r="5" spans="2:4" ht="13.5" customHeight="1" x14ac:dyDescent="0.2">
      <c r="B5" s="70">
        <v>44928</v>
      </c>
      <c r="C5" s="8" t="s">
        <v>36</v>
      </c>
      <c r="D5" s="8" t="s">
        <v>37</v>
      </c>
    </row>
    <row r="6" spans="2:4" ht="13.5" customHeight="1" x14ac:dyDescent="0.2">
      <c r="B6" s="70">
        <v>45621</v>
      </c>
      <c r="C6" s="8" t="s">
        <v>459</v>
      </c>
      <c r="D6" s="8" t="s">
        <v>460</v>
      </c>
    </row>
  </sheetData>
  <sheetProtection algorithmName="SHA-512" hashValue="vbCr/2eQFg1T9N7sNprVaXHVNGYK7+zpET9GFla7q1XBlW5oiCNNZCmN5UyYQbHSKvCJy7EqUuBzG5f764SuMA==" saltValue="PQahIAOkmdM0PafdlVpt/g==" spinCount="100000" sheet="1" objects="1" scenarios="1" selectLockedCells="1" selectUnlockedCells="1"/>
  <pageMargins left="0.7" right="0.7" top="0.78740157499999996" bottom="0.78740157499999996" header="0.3" footer="0.3"/>
  <pageSetup paperSize="9" scale="6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D286"/>
  <sheetViews>
    <sheetView zoomScaleNormal="100" workbookViewId="0">
      <pane ySplit="1" topLeftCell="A58" activePane="bottomLeft" state="frozen"/>
      <selection activeCell="J53" sqref="J53"/>
      <selection pane="bottomLeft" activeCell="C77" sqref="C77"/>
    </sheetView>
  </sheetViews>
  <sheetFormatPr baseColWidth="10" defaultRowHeight="15" customHeight="1" x14ac:dyDescent="0.2"/>
  <cols>
    <col min="1" max="1" width="9.28515625" style="13" bestFit="1" customWidth="1"/>
    <col min="2" max="2" width="112.42578125" style="13" customWidth="1"/>
    <col min="3" max="3" width="115.85546875" style="13" customWidth="1"/>
    <col min="4" max="4" width="2.85546875" style="8" customWidth="1"/>
    <col min="5" max="16384" width="11.42578125" style="8"/>
  </cols>
  <sheetData>
    <row r="1" spans="1:4" ht="15" customHeight="1" x14ac:dyDescent="0.2">
      <c r="A1" s="19" t="s">
        <v>191</v>
      </c>
      <c r="B1" s="19" t="s">
        <v>189</v>
      </c>
      <c r="C1" s="105" t="s">
        <v>190</v>
      </c>
      <c r="D1" s="19">
        <f>HLOOKUP(language,B1:C2,2,FALSE)</f>
        <v>2</v>
      </c>
    </row>
    <row r="2" spans="1:4" ht="15" customHeight="1" x14ac:dyDescent="0.2">
      <c r="A2" s="86" t="s">
        <v>193</v>
      </c>
      <c r="B2" s="19">
        <v>2</v>
      </c>
      <c r="C2" s="105">
        <v>3</v>
      </c>
    </row>
    <row r="3" spans="1:4" ht="15" customHeight="1" x14ac:dyDescent="0.2">
      <c r="A3" s="20" t="s">
        <v>192</v>
      </c>
      <c r="B3" s="20" t="s">
        <v>32</v>
      </c>
      <c r="C3" s="20" t="s">
        <v>33</v>
      </c>
    </row>
    <row r="4" spans="1:4" ht="15" customHeight="1" x14ac:dyDescent="0.2">
      <c r="A4" s="20" t="s">
        <v>194</v>
      </c>
      <c r="B4" s="20" t="s">
        <v>38</v>
      </c>
      <c r="C4" s="20" t="s">
        <v>39</v>
      </c>
    </row>
    <row r="5" spans="1:4" ht="15" customHeight="1" x14ac:dyDescent="0.2">
      <c r="A5" s="20" t="s">
        <v>195</v>
      </c>
      <c r="B5" s="20" t="s">
        <v>40</v>
      </c>
      <c r="C5" s="20" t="s">
        <v>58</v>
      </c>
    </row>
    <row r="6" spans="1:4" ht="15" customHeight="1" x14ac:dyDescent="0.2">
      <c r="A6" s="20" t="s">
        <v>196</v>
      </c>
      <c r="B6" s="13" t="s">
        <v>137</v>
      </c>
      <c r="C6" s="13" t="s">
        <v>138</v>
      </c>
    </row>
    <row r="7" spans="1:4" ht="15" customHeight="1" x14ac:dyDescent="0.2">
      <c r="A7" s="20" t="s">
        <v>197</v>
      </c>
      <c r="B7" s="13" t="s">
        <v>139</v>
      </c>
      <c r="C7" s="13" t="s">
        <v>140</v>
      </c>
    </row>
    <row r="8" spans="1:4" ht="15" customHeight="1" x14ac:dyDescent="0.2">
      <c r="A8" s="20" t="s">
        <v>198</v>
      </c>
      <c r="B8" s="13" t="s">
        <v>25</v>
      </c>
      <c r="C8" s="13" t="s">
        <v>26</v>
      </c>
    </row>
    <row r="9" spans="1:4" ht="15" customHeight="1" x14ac:dyDescent="0.2">
      <c r="A9" s="20" t="s">
        <v>199</v>
      </c>
      <c r="B9" s="13" t="s">
        <v>8</v>
      </c>
      <c r="C9" s="13" t="s">
        <v>9</v>
      </c>
    </row>
    <row r="10" spans="1:4" ht="15" customHeight="1" x14ac:dyDescent="0.2">
      <c r="A10" s="20" t="s">
        <v>200</v>
      </c>
      <c r="B10" s="21" t="s">
        <v>10</v>
      </c>
      <c r="C10" s="21" t="s">
        <v>11</v>
      </c>
    </row>
    <row r="11" spans="1:4" s="18" customFormat="1" ht="15" customHeight="1" x14ac:dyDescent="0.2">
      <c r="A11" s="20" t="s">
        <v>201</v>
      </c>
      <c r="B11" s="21" t="s">
        <v>12</v>
      </c>
      <c r="C11" s="21" t="s">
        <v>13</v>
      </c>
    </row>
    <row r="12" spans="1:4" s="18" customFormat="1" ht="15" customHeight="1" x14ac:dyDescent="0.2">
      <c r="A12" s="20" t="s">
        <v>202</v>
      </c>
      <c r="B12" s="21" t="s">
        <v>14</v>
      </c>
      <c r="C12" s="21" t="s">
        <v>14</v>
      </c>
    </row>
    <row r="13" spans="1:4" s="18" customFormat="1" ht="15" customHeight="1" x14ac:dyDescent="0.2">
      <c r="A13" s="20" t="s">
        <v>203</v>
      </c>
      <c r="B13" s="21" t="s">
        <v>15</v>
      </c>
      <c r="C13" s="21" t="s">
        <v>16</v>
      </c>
    </row>
    <row r="14" spans="1:4" s="18" customFormat="1" ht="15" customHeight="1" x14ac:dyDescent="0.2">
      <c r="A14" s="20" t="s">
        <v>204</v>
      </c>
      <c r="B14" s="21" t="s">
        <v>17</v>
      </c>
      <c r="C14" s="21" t="s">
        <v>18</v>
      </c>
    </row>
    <row r="15" spans="1:4" s="18" customFormat="1" ht="15" customHeight="1" x14ac:dyDescent="0.2">
      <c r="A15" s="20" t="s">
        <v>205</v>
      </c>
      <c r="B15" s="21" t="s">
        <v>19</v>
      </c>
      <c r="C15" s="21" t="s">
        <v>20</v>
      </c>
    </row>
    <row r="16" spans="1:4" s="18" customFormat="1" ht="15" customHeight="1" x14ac:dyDescent="0.2">
      <c r="A16" s="20" t="s">
        <v>206</v>
      </c>
      <c r="B16" s="21" t="s">
        <v>21</v>
      </c>
      <c r="C16" s="21" t="s">
        <v>22</v>
      </c>
    </row>
    <row r="17" spans="1:3" ht="15" customHeight="1" x14ac:dyDescent="0.2">
      <c r="A17" s="20" t="s">
        <v>207</v>
      </c>
      <c r="B17" s="13" t="s">
        <v>23</v>
      </c>
      <c r="C17" s="13" t="s">
        <v>24</v>
      </c>
    </row>
    <row r="18" spans="1:3" ht="15" customHeight="1" x14ac:dyDescent="0.2">
      <c r="A18" s="20" t="s">
        <v>208</v>
      </c>
      <c r="B18" s="13" t="s">
        <v>41</v>
      </c>
      <c r="C18" s="13" t="s">
        <v>57</v>
      </c>
    </row>
    <row r="19" spans="1:3" ht="15" customHeight="1" x14ac:dyDescent="0.2">
      <c r="A19" s="20" t="s">
        <v>209</v>
      </c>
      <c r="B19" s="13" t="s">
        <v>312</v>
      </c>
      <c r="C19" s="13" t="s">
        <v>415</v>
      </c>
    </row>
    <row r="20" spans="1:3" ht="15" customHeight="1" x14ac:dyDescent="0.2">
      <c r="A20" s="20" t="s">
        <v>210</v>
      </c>
      <c r="B20" s="13" t="s">
        <v>27</v>
      </c>
      <c r="C20" s="13" t="s">
        <v>28</v>
      </c>
    </row>
    <row r="21" spans="1:3" ht="15" customHeight="1" x14ac:dyDescent="0.2">
      <c r="A21" s="20" t="s">
        <v>211</v>
      </c>
      <c r="B21" s="13" t="s">
        <v>30</v>
      </c>
      <c r="C21" s="13" t="s">
        <v>31</v>
      </c>
    </row>
    <row r="22" spans="1:3" ht="15" customHeight="1" x14ac:dyDescent="0.2">
      <c r="A22" s="20" t="s">
        <v>212</v>
      </c>
      <c r="B22" s="13" t="s">
        <v>43</v>
      </c>
      <c r="C22" s="13" t="s">
        <v>128</v>
      </c>
    </row>
    <row r="23" spans="1:3" ht="15" customHeight="1" x14ac:dyDescent="0.2">
      <c r="A23" s="20" t="s">
        <v>213</v>
      </c>
      <c r="B23" s="13" t="s">
        <v>42</v>
      </c>
      <c r="C23" s="13" t="s">
        <v>129</v>
      </c>
    </row>
    <row r="24" spans="1:3" ht="15" customHeight="1" x14ac:dyDescent="0.2">
      <c r="A24" s="20" t="s">
        <v>214</v>
      </c>
      <c r="B24" s="13" t="s">
        <v>44</v>
      </c>
      <c r="C24" s="13" t="s">
        <v>130</v>
      </c>
    </row>
    <row r="25" spans="1:3" ht="15" customHeight="1" x14ac:dyDescent="0.2">
      <c r="A25" s="20" t="s">
        <v>215</v>
      </c>
      <c r="B25" s="13" t="s">
        <v>45</v>
      </c>
      <c r="C25" s="13" t="s">
        <v>131</v>
      </c>
    </row>
    <row r="26" spans="1:3" ht="15" customHeight="1" x14ac:dyDescent="0.2">
      <c r="A26" s="20" t="s">
        <v>216</v>
      </c>
      <c r="B26" s="13" t="s">
        <v>46</v>
      </c>
      <c r="C26" s="13" t="s">
        <v>132</v>
      </c>
    </row>
    <row r="27" spans="1:3" ht="15" customHeight="1" x14ac:dyDescent="0.2">
      <c r="A27" s="20" t="s">
        <v>217</v>
      </c>
      <c r="B27" s="13" t="s">
        <v>47</v>
      </c>
      <c r="C27" s="13" t="s">
        <v>133</v>
      </c>
    </row>
    <row r="28" spans="1:3" ht="15" customHeight="1" x14ac:dyDescent="0.2">
      <c r="A28" s="20" t="s">
        <v>218</v>
      </c>
      <c r="B28" s="13" t="s">
        <v>73</v>
      </c>
      <c r="C28" s="13" t="s">
        <v>134</v>
      </c>
    </row>
    <row r="29" spans="1:3" ht="15" customHeight="1" x14ac:dyDescent="0.2">
      <c r="A29" s="20" t="s">
        <v>219</v>
      </c>
      <c r="B29" s="13" t="s">
        <v>55</v>
      </c>
      <c r="C29" s="13" t="s">
        <v>135</v>
      </c>
    </row>
    <row r="30" spans="1:3" ht="15" customHeight="1" x14ac:dyDescent="0.2">
      <c r="A30" s="20" t="s">
        <v>220</v>
      </c>
      <c r="B30" s="13" t="s">
        <v>56</v>
      </c>
      <c r="C30" s="13" t="s">
        <v>136</v>
      </c>
    </row>
    <row r="31" spans="1:3" ht="15" customHeight="1" x14ac:dyDescent="0.2">
      <c r="A31" s="20" t="s">
        <v>221</v>
      </c>
      <c r="B31" s="13" t="s">
        <v>0</v>
      </c>
      <c r="C31" s="13" t="s">
        <v>2</v>
      </c>
    </row>
    <row r="32" spans="1:3" ht="15" customHeight="1" x14ac:dyDescent="0.2">
      <c r="A32" s="20" t="s">
        <v>222</v>
      </c>
      <c r="B32" s="13" t="s">
        <v>1</v>
      </c>
      <c r="C32" s="13" t="s">
        <v>3</v>
      </c>
    </row>
    <row r="33" spans="1:3" ht="15" customHeight="1" x14ac:dyDescent="0.2">
      <c r="A33" s="20" t="s">
        <v>223</v>
      </c>
      <c r="B33" s="20" t="s">
        <v>59</v>
      </c>
      <c r="C33" s="20" t="s">
        <v>60</v>
      </c>
    </row>
    <row r="34" spans="1:3" ht="38.25" x14ac:dyDescent="0.2">
      <c r="A34" s="20" t="s">
        <v>224</v>
      </c>
      <c r="B34" s="20" t="s">
        <v>82</v>
      </c>
      <c r="C34" s="20" t="s">
        <v>74</v>
      </c>
    </row>
    <row r="35" spans="1:3" ht="15" customHeight="1" x14ac:dyDescent="0.2">
      <c r="A35" s="20" t="s">
        <v>225</v>
      </c>
      <c r="B35" s="20" t="s">
        <v>62</v>
      </c>
      <c r="C35" s="20" t="s">
        <v>61</v>
      </c>
    </row>
    <row r="36" spans="1:3" ht="38.25" x14ac:dyDescent="0.2">
      <c r="A36" s="20" t="s">
        <v>226</v>
      </c>
      <c r="B36" s="20" t="s">
        <v>67</v>
      </c>
      <c r="C36" s="20" t="s">
        <v>72</v>
      </c>
    </row>
    <row r="37" spans="1:3" ht="38.25" x14ac:dyDescent="0.2">
      <c r="A37" s="20" t="s">
        <v>227</v>
      </c>
      <c r="B37" s="20" t="s">
        <v>63</v>
      </c>
      <c r="C37" s="20" t="s">
        <v>64</v>
      </c>
    </row>
    <row r="38" spans="1:3" ht="38.25" x14ac:dyDescent="0.2">
      <c r="A38" s="20" t="s">
        <v>228</v>
      </c>
      <c r="B38" s="20" t="s">
        <v>65</v>
      </c>
      <c r="C38" s="20" t="s">
        <v>66</v>
      </c>
    </row>
    <row r="39" spans="1:3" ht="15" customHeight="1" x14ac:dyDescent="0.2">
      <c r="A39" s="20" t="s">
        <v>229</v>
      </c>
      <c r="B39" s="20" t="s">
        <v>69</v>
      </c>
      <c r="C39" s="20" t="s">
        <v>71</v>
      </c>
    </row>
    <row r="40" spans="1:3" ht="15" customHeight="1" x14ac:dyDescent="0.2">
      <c r="A40" s="20" t="s">
        <v>230</v>
      </c>
      <c r="B40" s="13" t="s">
        <v>68</v>
      </c>
      <c r="C40" s="13" t="s">
        <v>70</v>
      </c>
    </row>
    <row r="41" spans="1:3" ht="15" customHeight="1" x14ac:dyDescent="0.2">
      <c r="A41" s="20" t="s">
        <v>231</v>
      </c>
      <c r="B41" s="13" t="s">
        <v>114</v>
      </c>
      <c r="C41" s="13" t="s">
        <v>113</v>
      </c>
    </row>
    <row r="42" spans="1:3" ht="15" customHeight="1" x14ac:dyDescent="0.2">
      <c r="A42" s="20" t="s">
        <v>232</v>
      </c>
      <c r="B42" s="13" t="s">
        <v>116</v>
      </c>
      <c r="C42" s="13" t="s">
        <v>115</v>
      </c>
    </row>
    <row r="43" spans="1:3" ht="15" customHeight="1" x14ac:dyDescent="0.2">
      <c r="A43" s="20" t="s">
        <v>233</v>
      </c>
      <c r="B43" s="13" t="s">
        <v>75</v>
      </c>
      <c r="C43" s="13" t="s">
        <v>78</v>
      </c>
    </row>
    <row r="44" spans="1:3" ht="15" customHeight="1" x14ac:dyDescent="0.2">
      <c r="A44" s="20" t="s">
        <v>234</v>
      </c>
      <c r="B44" s="13" t="s">
        <v>76</v>
      </c>
      <c r="C44" s="13" t="s">
        <v>79</v>
      </c>
    </row>
    <row r="45" spans="1:3" ht="15" customHeight="1" x14ac:dyDescent="0.2">
      <c r="A45" s="20" t="s">
        <v>235</v>
      </c>
      <c r="B45" s="13" t="s">
        <v>77</v>
      </c>
      <c r="C45" s="13" t="s">
        <v>80</v>
      </c>
    </row>
    <row r="46" spans="1:3" ht="51" x14ac:dyDescent="0.2">
      <c r="A46" s="20" t="s">
        <v>236</v>
      </c>
      <c r="B46" s="20" t="s">
        <v>83</v>
      </c>
      <c r="C46" s="20" t="s">
        <v>81</v>
      </c>
    </row>
    <row r="47" spans="1:3" ht="38.25" x14ac:dyDescent="0.2">
      <c r="A47" s="20" t="s">
        <v>237</v>
      </c>
      <c r="B47" s="20" t="s">
        <v>84</v>
      </c>
      <c r="C47" s="20" t="s">
        <v>87</v>
      </c>
    </row>
    <row r="48" spans="1:3" ht="25.5" x14ac:dyDescent="0.2">
      <c r="A48" s="20" t="s">
        <v>238</v>
      </c>
      <c r="B48" s="20" t="s">
        <v>85</v>
      </c>
      <c r="C48" s="20" t="s">
        <v>86</v>
      </c>
    </row>
    <row r="49" spans="1:3" ht="38.25" x14ac:dyDescent="0.2">
      <c r="A49" s="20" t="s">
        <v>239</v>
      </c>
      <c r="B49" s="20" t="s">
        <v>100</v>
      </c>
      <c r="C49" s="20" t="s">
        <v>101</v>
      </c>
    </row>
    <row r="50" spans="1:3" ht="38.25" x14ac:dyDescent="0.2">
      <c r="A50" s="20" t="s">
        <v>240</v>
      </c>
      <c r="B50" s="20" t="s">
        <v>102</v>
      </c>
      <c r="C50" s="20" t="s">
        <v>104</v>
      </c>
    </row>
    <row r="51" spans="1:3" ht="38.25" x14ac:dyDescent="0.2">
      <c r="A51" s="20" t="s">
        <v>241</v>
      </c>
      <c r="B51" s="20" t="s">
        <v>103</v>
      </c>
      <c r="C51" s="20" t="s">
        <v>105</v>
      </c>
    </row>
    <row r="52" spans="1:3" ht="38.25" x14ac:dyDescent="0.2">
      <c r="A52" s="20" t="s">
        <v>242</v>
      </c>
      <c r="B52" s="20" t="s">
        <v>93</v>
      </c>
      <c r="C52" s="20" t="s">
        <v>94</v>
      </c>
    </row>
    <row r="53" spans="1:3" ht="38.25" x14ac:dyDescent="0.2">
      <c r="A53" s="20" t="s">
        <v>243</v>
      </c>
      <c r="B53" s="20" t="s">
        <v>95</v>
      </c>
      <c r="C53" s="20" t="s">
        <v>96</v>
      </c>
    </row>
    <row r="54" spans="1:3" ht="15" customHeight="1" x14ac:dyDescent="0.2">
      <c r="A54" s="20" t="s">
        <v>244</v>
      </c>
      <c r="B54" s="13" t="s">
        <v>89</v>
      </c>
      <c r="C54" s="13" t="s">
        <v>90</v>
      </c>
    </row>
    <row r="55" spans="1:3" ht="15" customHeight="1" x14ac:dyDescent="0.2">
      <c r="A55" s="20" t="s">
        <v>245</v>
      </c>
      <c r="B55" s="13" t="s">
        <v>91</v>
      </c>
      <c r="C55" s="13" t="s">
        <v>92</v>
      </c>
    </row>
    <row r="56" spans="1:3" ht="15" customHeight="1" x14ac:dyDescent="0.2">
      <c r="A56" s="20" t="s">
        <v>246</v>
      </c>
      <c r="B56" s="13" t="s">
        <v>111</v>
      </c>
      <c r="C56" s="13" t="s">
        <v>112</v>
      </c>
    </row>
    <row r="57" spans="1:3" ht="15" customHeight="1" x14ac:dyDescent="0.2">
      <c r="A57" s="20" t="s">
        <v>247</v>
      </c>
      <c r="B57" s="13" t="s">
        <v>97</v>
      </c>
      <c r="C57" s="13" t="s">
        <v>98</v>
      </c>
    </row>
    <row r="58" spans="1:3" ht="25.5" x14ac:dyDescent="0.2">
      <c r="A58" s="20" t="s">
        <v>248</v>
      </c>
      <c r="B58" s="20" t="s">
        <v>99</v>
      </c>
      <c r="C58" s="20" t="s">
        <v>108</v>
      </c>
    </row>
    <row r="59" spans="1:3" ht="15" customHeight="1" x14ac:dyDescent="0.2">
      <c r="A59" s="20" t="s">
        <v>249</v>
      </c>
      <c r="B59" s="20" t="s">
        <v>106</v>
      </c>
      <c r="C59" s="20" t="s">
        <v>107</v>
      </c>
    </row>
    <row r="60" spans="1:3" ht="15" customHeight="1" x14ac:dyDescent="0.2">
      <c r="A60" s="20" t="s">
        <v>250</v>
      </c>
      <c r="B60" s="13" t="s">
        <v>110</v>
      </c>
      <c r="C60" s="13" t="s">
        <v>109</v>
      </c>
    </row>
    <row r="61" spans="1:3" ht="15" customHeight="1" x14ac:dyDescent="0.2">
      <c r="A61" s="20" t="s">
        <v>251</v>
      </c>
      <c r="B61" s="13" t="s">
        <v>6</v>
      </c>
      <c r="C61" s="13" t="s">
        <v>7</v>
      </c>
    </row>
    <row r="62" spans="1:3" ht="15" customHeight="1" x14ac:dyDescent="0.2">
      <c r="A62" s="20" t="s">
        <v>252</v>
      </c>
      <c r="B62" s="13" t="s">
        <v>181</v>
      </c>
      <c r="C62" s="13" t="s">
        <v>412</v>
      </c>
    </row>
    <row r="63" spans="1:3" ht="15" customHeight="1" x14ac:dyDescent="0.2">
      <c r="A63" s="20" t="s">
        <v>253</v>
      </c>
      <c r="B63" s="13" t="s">
        <v>180</v>
      </c>
      <c r="C63" s="13" t="s">
        <v>413</v>
      </c>
    </row>
    <row r="64" spans="1:3" ht="15" customHeight="1" x14ac:dyDescent="0.2">
      <c r="A64" s="20" t="s">
        <v>254</v>
      </c>
      <c r="B64" s="13" t="s">
        <v>177</v>
      </c>
      <c r="C64" s="13" t="s">
        <v>414</v>
      </c>
    </row>
    <row r="65" spans="1:3" ht="15" customHeight="1" x14ac:dyDescent="0.2">
      <c r="A65" s="20" t="s">
        <v>255</v>
      </c>
      <c r="B65" s="13" t="s">
        <v>178</v>
      </c>
      <c r="C65" s="13" t="s">
        <v>179</v>
      </c>
    </row>
    <row r="66" spans="1:3" ht="15" customHeight="1" x14ac:dyDescent="0.2">
      <c r="A66" s="20" t="s">
        <v>256</v>
      </c>
      <c r="B66" s="13" t="s">
        <v>163</v>
      </c>
      <c r="C66" s="13" t="s">
        <v>127</v>
      </c>
    </row>
    <row r="67" spans="1:3" ht="15" customHeight="1" x14ac:dyDescent="0.2">
      <c r="A67" s="20" t="s">
        <v>257</v>
      </c>
      <c r="B67" s="13" t="s">
        <v>141</v>
      </c>
      <c r="C67" s="13" t="s">
        <v>442</v>
      </c>
    </row>
    <row r="68" spans="1:3" ht="15" customHeight="1" x14ac:dyDescent="0.2">
      <c r="A68" s="20" t="s">
        <v>258</v>
      </c>
      <c r="B68" s="20" t="s">
        <v>156</v>
      </c>
      <c r="C68" s="20" t="s">
        <v>441</v>
      </c>
    </row>
    <row r="69" spans="1:3" ht="15" customHeight="1" x14ac:dyDescent="0.2">
      <c r="A69" s="20" t="s">
        <v>259</v>
      </c>
      <c r="B69" s="20" t="s">
        <v>157</v>
      </c>
      <c r="C69" s="13" t="s">
        <v>443</v>
      </c>
    </row>
    <row r="70" spans="1:3" ht="15" customHeight="1" x14ac:dyDescent="0.2">
      <c r="A70" s="20" t="s">
        <v>260</v>
      </c>
      <c r="B70" s="13" t="s">
        <v>162</v>
      </c>
      <c r="C70" s="13" t="s">
        <v>416</v>
      </c>
    </row>
    <row r="71" spans="1:3" ht="15" customHeight="1" x14ac:dyDescent="0.2">
      <c r="A71" s="20" t="s">
        <v>261</v>
      </c>
      <c r="B71" s="13" t="s">
        <v>380</v>
      </c>
      <c r="C71" s="13" t="s">
        <v>444</v>
      </c>
    </row>
    <row r="72" spans="1:3" ht="15" customHeight="1" x14ac:dyDescent="0.2">
      <c r="A72" s="20" t="s">
        <v>262</v>
      </c>
      <c r="B72" s="13" t="s">
        <v>159</v>
      </c>
      <c r="C72" s="13" t="s">
        <v>445</v>
      </c>
    </row>
    <row r="73" spans="1:3" ht="15" customHeight="1" x14ac:dyDescent="0.2">
      <c r="A73" s="20" t="s">
        <v>263</v>
      </c>
      <c r="B73" s="13" t="s">
        <v>158</v>
      </c>
      <c r="C73" s="13" t="s">
        <v>446</v>
      </c>
    </row>
    <row r="74" spans="1:3" ht="15" customHeight="1" x14ac:dyDescent="0.2">
      <c r="A74" s="20" t="s">
        <v>264</v>
      </c>
      <c r="B74" s="13" t="s">
        <v>142</v>
      </c>
      <c r="C74" s="13" t="s">
        <v>447</v>
      </c>
    </row>
    <row r="75" spans="1:3" ht="15" customHeight="1" x14ac:dyDescent="0.2">
      <c r="A75" s="20" t="s">
        <v>265</v>
      </c>
      <c r="B75" s="13" t="s">
        <v>461</v>
      </c>
      <c r="C75" s="13" t="s">
        <v>462</v>
      </c>
    </row>
    <row r="76" spans="1:3" ht="15" customHeight="1" x14ac:dyDescent="0.2">
      <c r="A76" s="20" t="s">
        <v>266</v>
      </c>
      <c r="B76" s="13" t="s">
        <v>161</v>
      </c>
      <c r="C76" s="13" t="s">
        <v>448</v>
      </c>
    </row>
    <row r="77" spans="1:3" ht="15" customHeight="1" x14ac:dyDescent="0.2">
      <c r="A77" s="20" t="s">
        <v>267</v>
      </c>
      <c r="B77" s="13" t="s">
        <v>160</v>
      </c>
      <c r="C77" s="13" t="s">
        <v>449</v>
      </c>
    </row>
    <row r="78" spans="1:3" ht="15" customHeight="1" x14ac:dyDescent="0.2">
      <c r="A78" s="20" t="s">
        <v>268</v>
      </c>
      <c r="B78" s="75" t="s">
        <v>184</v>
      </c>
      <c r="C78" s="13" t="s">
        <v>450</v>
      </c>
    </row>
    <row r="79" spans="1:3" ht="15" customHeight="1" x14ac:dyDescent="0.2">
      <c r="A79" s="20" t="s">
        <v>269</v>
      </c>
      <c r="B79" s="75" t="s">
        <v>183</v>
      </c>
      <c r="C79" s="13" t="s">
        <v>417</v>
      </c>
    </row>
    <row r="80" spans="1:3" ht="15" customHeight="1" x14ac:dyDescent="0.2">
      <c r="A80" s="20" t="s">
        <v>270</v>
      </c>
      <c r="B80" s="75" t="s">
        <v>182</v>
      </c>
      <c r="C80" s="13" t="s">
        <v>451</v>
      </c>
    </row>
    <row r="81" spans="1:3" ht="15" customHeight="1" x14ac:dyDescent="0.2">
      <c r="A81" s="20" t="s">
        <v>271</v>
      </c>
      <c r="B81" s="13" t="s">
        <v>144</v>
      </c>
      <c r="C81" s="13" t="s">
        <v>418</v>
      </c>
    </row>
    <row r="82" spans="1:3" ht="15" customHeight="1" x14ac:dyDescent="0.2">
      <c r="A82" s="20" t="s">
        <v>272</v>
      </c>
      <c r="B82" s="20" t="s">
        <v>145</v>
      </c>
      <c r="C82" s="13" t="s">
        <v>419</v>
      </c>
    </row>
    <row r="83" spans="1:3" ht="15" customHeight="1" x14ac:dyDescent="0.2">
      <c r="A83" s="20" t="s">
        <v>273</v>
      </c>
      <c r="B83" s="13" t="s">
        <v>146</v>
      </c>
      <c r="C83" s="20" t="s">
        <v>420</v>
      </c>
    </row>
    <row r="84" spans="1:3" ht="15" customHeight="1" x14ac:dyDescent="0.2">
      <c r="A84" s="20" t="s">
        <v>274</v>
      </c>
      <c r="B84" s="13" t="s">
        <v>143</v>
      </c>
      <c r="C84" s="13" t="s">
        <v>421</v>
      </c>
    </row>
    <row r="85" spans="1:3" ht="15" customHeight="1" x14ac:dyDescent="0.2">
      <c r="A85" s="20" t="s">
        <v>275</v>
      </c>
      <c r="B85" s="13" t="s">
        <v>154</v>
      </c>
      <c r="C85" s="13" t="s">
        <v>422</v>
      </c>
    </row>
    <row r="86" spans="1:3" ht="15" customHeight="1" x14ac:dyDescent="0.2">
      <c r="A86" s="20" t="s">
        <v>276</v>
      </c>
      <c r="B86" s="13" t="s">
        <v>165</v>
      </c>
      <c r="C86" s="13" t="s">
        <v>423</v>
      </c>
    </row>
    <row r="87" spans="1:3" ht="15" customHeight="1" x14ac:dyDescent="0.2">
      <c r="A87" s="20" t="s">
        <v>277</v>
      </c>
      <c r="B87" s="13" t="s">
        <v>155</v>
      </c>
      <c r="C87" s="13" t="s">
        <v>424</v>
      </c>
    </row>
    <row r="88" spans="1:3" ht="15" customHeight="1" x14ac:dyDescent="0.2">
      <c r="A88" s="20" t="s">
        <v>278</v>
      </c>
      <c r="B88" s="13" t="s">
        <v>164</v>
      </c>
      <c r="C88" s="13" t="s">
        <v>425</v>
      </c>
    </row>
    <row r="89" spans="1:3" ht="15" customHeight="1" x14ac:dyDescent="0.2">
      <c r="A89" s="20" t="s">
        <v>279</v>
      </c>
      <c r="B89" s="13" t="s">
        <v>167</v>
      </c>
      <c r="C89" s="13" t="s">
        <v>426</v>
      </c>
    </row>
    <row r="90" spans="1:3" ht="15" customHeight="1" x14ac:dyDescent="0.2">
      <c r="A90" s="20" t="s">
        <v>280</v>
      </c>
      <c r="B90" s="13" t="s">
        <v>166</v>
      </c>
      <c r="C90" s="13" t="s">
        <v>427</v>
      </c>
    </row>
    <row r="91" spans="1:3" ht="15" customHeight="1" x14ac:dyDescent="0.2">
      <c r="A91" s="20" t="s">
        <v>281</v>
      </c>
      <c r="B91" s="13" t="s">
        <v>379</v>
      </c>
      <c r="C91" s="13" t="s">
        <v>452</v>
      </c>
    </row>
    <row r="92" spans="1:3" ht="15" customHeight="1" x14ac:dyDescent="0.2">
      <c r="A92" s="20" t="s">
        <v>282</v>
      </c>
      <c r="B92" s="75" t="s">
        <v>147</v>
      </c>
      <c r="C92" s="13" t="s">
        <v>428</v>
      </c>
    </row>
    <row r="93" spans="1:3" ht="15" customHeight="1" x14ac:dyDescent="0.2">
      <c r="A93" s="20" t="s">
        <v>283</v>
      </c>
      <c r="B93" s="20" t="s">
        <v>148</v>
      </c>
      <c r="C93" s="13" t="s">
        <v>440</v>
      </c>
    </row>
    <row r="94" spans="1:3" ht="15" customHeight="1" x14ac:dyDescent="0.2">
      <c r="A94" s="20" t="s">
        <v>284</v>
      </c>
      <c r="B94" s="13" t="s">
        <v>185</v>
      </c>
      <c r="C94" s="20" t="s">
        <v>431</v>
      </c>
    </row>
    <row r="95" spans="1:3" ht="15" customHeight="1" x14ac:dyDescent="0.2">
      <c r="A95" s="20" t="s">
        <v>285</v>
      </c>
      <c r="B95" s="13" t="s">
        <v>186</v>
      </c>
      <c r="C95" s="13" t="s">
        <v>439</v>
      </c>
    </row>
    <row r="96" spans="1:3" ht="15" customHeight="1" x14ac:dyDescent="0.2">
      <c r="A96" s="20" t="s">
        <v>286</v>
      </c>
      <c r="B96" s="13" t="s">
        <v>149</v>
      </c>
      <c r="C96" s="13" t="s">
        <v>438</v>
      </c>
    </row>
    <row r="97" spans="1:3" ht="15" customHeight="1" x14ac:dyDescent="0.2">
      <c r="A97" s="20" t="s">
        <v>287</v>
      </c>
      <c r="B97" s="13" t="s">
        <v>150</v>
      </c>
      <c r="C97" s="13" t="s">
        <v>437</v>
      </c>
    </row>
    <row r="98" spans="1:3" ht="15" customHeight="1" x14ac:dyDescent="0.2">
      <c r="A98" s="20" t="s">
        <v>288</v>
      </c>
      <c r="B98" s="13" t="s">
        <v>429</v>
      </c>
      <c r="C98" s="20" t="s">
        <v>432</v>
      </c>
    </row>
    <row r="99" spans="1:3" ht="15" customHeight="1" x14ac:dyDescent="0.2">
      <c r="A99" s="20" t="s">
        <v>289</v>
      </c>
      <c r="B99" s="13" t="s">
        <v>430</v>
      </c>
      <c r="C99" s="13" t="s">
        <v>436</v>
      </c>
    </row>
    <row r="100" spans="1:3" ht="15" customHeight="1" x14ac:dyDescent="0.2">
      <c r="A100" s="20" t="s">
        <v>290</v>
      </c>
      <c r="B100" s="13" t="s">
        <v>151</v>
      </c>
      <c r="C100" s="13" t="s">
        <v>435</v>
      </c>
    </row>
    <row r="101" spans="1:3" ht="15" customHeight="1" x14ac:dyDescent="0.2">
      <c r="A101" s="20" t="s">
        <v>291</v>
      </c>
      <c r="B101" s="13" t="s">
        <v>152</v>
      </c>
      <c r="C101" s="13" t="s">
        <v>434</v>
      </c>
    </row>
    <row r="102" spans="1:3" ht="15" customHeight="1" x14ac:dyDescent="0.2">
      <c r="A102" s="20" t="s">
        <v>292</v>
      </c>
      <c r="B102" s="13" t="s">
        <v>153</v>
      </c>
      <c r="C102" s="13" t="s">
        <v>433</v>
      </c>
    </row>
    <row r="103" spans="1:3" ht="15" customHeight="1" x14ac:dyDescent="0.2">
      <c r="A103" s="20" t="s">
        <v>293</v>
      </c>
      <c r="B103" s="13" t="s">
        <v>322</v>
      </c>
      <c r="C103" s="13" t="s">
        <v>323</v>
      </c>
    </row>
    <row r="104" spans="1:3" ht="15" customHeight="1" x14ac:dyDescent="0.2">
      <c r="A104" s="20" t="s">
        <v>294</v>
      </c>
      <c r="B104" s="13" t="s">
        <v>171</v>
      </c>
      <c r="C104" s="13" t="s">
        <v>172</v>
      </c>
    </row>
    <row r="105" spans="1:3" ht="15" customHeight="1" x14ac:dyDescent="0.2">
      <c r="A105" s="20" t="s">
        <v>295</v>
      </c>
      <c r="B105" s="13" t="s">
        <v>117</v>
      </c>
      <c r="C105" s="13" t="s">
        <v>123</v>
      </c>
    </row>
    <row r="106" spans="1:3" ht="15" customHeight="1" x14ac:dyDescent="0.2">
      <c r="A106" s="20" t="s">
        <v>296</v>
      </c>
      <c r="B106" s="13" t="s">
        <v>118</v>
      </c>
      <c r="C106" s="13" t="s">
        <v>124</v>
      </c>
    </row>
    <row r="107" spans="1:3" ht="15" customHeight="1" x14ac:dyDescent="0.2">
      <c r="A107" s="20" t="s">
        <v>297</v>
      </c>
      <c r="B107" s="13" t="s">
        <v>175</v>
      </c>
      <c r="C107" s="13" t="s">
        <v>174</v>
      </c>
    </row>
    <row r="108" spans="1:3" ht="15" customHeight="1" x14ac:dyDescent="0.2">
      <c r="A108" s="20" t="s">
        <v>298</v>
      </c>
      <c r="B108" s="13" t="s">
        <v>176</v>
      </c>
      <c r="C108" s="13" t="s">
        <v>173</v>
      </c>
    </row>
    <row r="109" spans="1:3" ht="15" customHeight="1" x14ac:dyDescent="0.2">
      <c r="A109" s="20" t="s">
        <v>299</v>
      </c>
      <c r="B109" s="75" t="s">
        <v>319</v>
      </c>
      <c r="C109" s="20" t="s">
        <v>320</v>
      </c>
    </row>
    <row r="110" spans="1:3" ht="15" customHeight="1" x14ac:dyDescent="0.2">
      <c r="A110" s="20" t="s">
        <v>300</v>
      </c>
      <c r="B110" s="13" t="s">
        <v>168</v>
      </c>
      <c r="C110" s="13" t="s">
        <v>169</v>
      </c>
    </row>
    <row r="111" spans="1:3" ht="15" customHeight="1" x14ac:dyDescent="0.2">
      <c r="A111" s="20" t="s">
        <v>301</v>
      </c>
      <c r="B111" s="13" t="s">
        <v>119</v>
      </c>
      <c r="C111" s="13" t="s">
        <v>453</v>
      </c>
    </row>
    <row r="112" spans="1:3" ht="15" customHeight="1" x14ac:dyDescent="0.2">
      <c r="A112" s="20" t="s">
        <v>302</v>
      </c>
      <c r="B112" s="13" t="s">
        <v>334</v>
      </c>
      <c r="C112" s="13" t="s">
        <v>335</v>
      </c>
    </row>
    <row r="113" spans="1:3" ht="15" customHeight="1" x14ac:dyDescent="0.2">
      <c r="A113" s="20" t="s">
        <v>303</v>
      </c>
      <c r="B113" s="13" t="s">
        <v>337</v>
      </c>
      <c r="C113" s="13" t="s">
        <v>411</v>
      </c>
    </row>
    <row r="114" spans="1:3" ht="15" customHeight="1" x14ac:dyDescent="0.2">
      <c r="A114" s="20" t="s">
        <v>304</v>
      </c>
      <c r="B114" s="13" t="s">
        <v>340</v>
      </c>
      <c r="C114" s="13" t="s">
        <v>409</v>
      </c>
    </row>
    <row r="115" spans="1:3" ht="15" customHeight="1" x14ac:dyDescent="0.2">
      <c r="A115" s="20" t="s">
        <v>305</v>
      </c>
      <c r="B115" s="13" t="s">
        <v>339</v>
      </c>
      <c r="C115" s="13" t="s">
        <v>410</v>
      </c>
    </row>
    <row r="116" spans="1:3" ht="15" customHeight="1" x14ac:dyDescent="0.2">
      <c r="A116" s="20" t="s">
        <v>306</v>
      </c>
      <c r="B116" s="13" t="s">
        <v>121</v>
      </c>
      <c r="C116" s="13" t="s">
        <v>125</v>
      </c>
    </row>
    <row r="117" spans="1:3" ht="15" customHeight="1" x14ac:dyDescent="0.2">
      <c r="A117" s="20" t="s">
        <v>307</v>
      </c>
      <c r="B117" s="13" t="s">
        <v>122</v>
      </c>
      <c r="C117" s="13" t="s">
        <v>126</v>
      </c>
    </row>
    <row r="118" spans="1:3" ht="15" customHeight="1" x14ac:dyDescent="0.2">
      <c r="A118" s="20" t="s">
        <v>308</v>
      </c>
      <c r="B118" s="13" t="s">
        <v>170</v>
      </c>
      <c r="C118" s="13" t="s">
        <v>399</v>
      </c>
    </row>
    <row r="119" spans="1:3" ht="15" customHeight="1" x14ac:dyDescent="0.2">
      <c r="A119" s="20" t="s">
        <v>309</v>
      </c>
      <c r="B119" s="13" t="s">
        <v>187</v>
      </c>
      <c r="C119" s="13" t="s">
        <v>400</v>
      </c>
    </row>
    <row r="120" spans="1:3" ht="15" customHeight="1" x14ac:dyDescent="0.2">
      <c r="A120" s="20" t="s">
        <v>310</v>
      </c>
      <c r="B120" s="13" t="s">
        <v>188</v>
      </c>
      <c r="C120" s="13" t="s">
        <v>401</v>
      </c>
    </row>
    <row r="121" spans="1:3" ht="15" customHeight="1" x14ac:dyDescent="0.2">
      <c r="A121" s="13" t="s">
        <v>311</v>
      </c>
      <c r="B121" s="13" t="s">
        <v>88</v>
      </c>
      <c r="C121" s="13" t="s">
        <v>402</v>
      </c>
    </row>
    <row r="122" spans="1:3" ht="15" customHeight="1" x14ac:dyDescent="0.2">
      <c r="A122" s="13" t="s">
        <v>313</v>
      </c>
      <c r="B122" s="13" t="s">
        <v>321</v>
      </c>
      <c r="C122" s="13" t="s">
        <v>403</v>
      </c>
    </row>
    <row r="123" spans="1:3" ht="15" customHeight="1" x14ac:dyDescent="0.2">
      <c r="A123" s="13" t="s">
        <v>314</v>
      </c>
      <c r="B123" s="13" t="s">
        <v>324</v>
      </c>
      <c r="C123" s="13" t="s">
        <v>404</v>
      </c>
    </row>
    <row r="124" spans="1:3" ht="15" customHeight="1" x14ac:dyDescent="0.2">
      <c r="A124" s="13" t="s">
        <v>315</v>
      </c>
      <c r="B124" s="13" t="s">
        <v>331</v>
      </c>
      <c r="C124" s="13" t="s">
        <v>454</v>
      </c>
    </row>
    <row r="125" spans="1:3" ht="15" customHeight="1" x14ac:dyDescent="0.2">
      <c r="A125" s="13" t="s">
        <v>316</v>
      </c>
      <c r="B125" s="13" t="s">
        <v>332</v>
      </c>
      <c r="C125" s="13" t="s">
        <v>455</v>
      </c>
    </row>
    <row r="126" spans="1:3" ht="15" customHeight="1" x14ac:dyDescent="0.2">
      <c r="A126" s="13" t="s">
        <v>317</v>
      </c>
      <c r="B126" s="13" t="s">
        <v>330</v>
      </c>
      <c r="C126" s="13" t="s">
        <v>405</v>
      </c>
    </row>
    <row r="127" spans="1:3" ht="15" customHeight="1" x14ac:dyDescent="0.2">
      <c r="A127" s="13" t="s">
        <v>318</v>
      </c>
      <c r="B127" s="13" t="s">
        <v>338</v>
      </c>
      <c r="C127" s="13" t="s">
        <v>406</v>
      </c>
    </row>
    <row r="128" spans="1:3" ht="15" customHeight="1" x14ac:dyDescent="0.2">
      <c r="A128" s="13" t="s">
        <v>325</v>
      </c>
      <c r="B128" s="20" t="s">
        <v>333</v>
      </c>
      <c r="C128" s="13" t="s">
        <v>456</v>
      </c>
    </row>
    <row r="129" spans="1:3" ht="15" customHeight="1" x14ac:dyDescent="0.2">
      <c r="A129" s="13" t="s">
        <v>326</v>
      </c>
      <c r="B129" s="13" t="s">
        <v>336</v>
      </c>
      <c r="C129" s="13" t="s">
        <v>407</v>
      </c>
    </row>
    <row r="130" spans="1:3" ht="15" customHeight="1" x14ac:dyDescent="0.2">
      <c r="A130" s="13" t="s">
        <v>327</v>
      </c>
      <c r="B130" s="13" t="s">
        <v>120</v>
      </c>
      <c r="C130" s="13" t="s">
        <v>408</v>
      </c>
    </row>
    <row r="131" spans="1:3" ht="15" customHeight="1" x14ac:dyDescent="0.2">
      <c r="A131" s="13" t="s">
        <v>328</v>
      </c>
      <c r="B131" s="20" t="s">
        <v>341</v>
      </c>
      <c r="C131" s="20" t="s">
        <v>343</v>
      </c>
    </row>
    <row r="132" spans="1:3" ht="15" customHeight="1" x14ac:dyDescent="0.2">
      <c r="A132" s="13" t="s">
        <v>329</v>
      </c>
      <c r="B132" s="20" t="s">
        <v>342</v>
      </c>
      <c r="C132" s="20" t="s">
        <v>344</v>
      </c>
    </row>
    <row r="133" spans="1:3" ht="15" customHeight="1" x14ac:dyDescent="0.2">
      <c r="A133" s="13" t="s">
        <v>345</v>
      </c>
      <c r="B133" s="13" t="s">
        <v>356</v>
      </c>
      <c r="C133" s="13" t="s">
        <v>357</v>
      </c>
    </row>
    <row r="134" spans="1:3" ht="15" customHeight="1" x14ac:dyDescent="0.2">
      <c r="A134" s="13" t="s">
        <v>346</v>
      </c>
      <c r="B134" s="13" t="s">
        <v>352</v>
      </c>
      <c r="C134" s="13" t="s">
        <v>353</v>
      </c>
    </row>
    <row r="135" spans="1:3" ht="15" customHeight="1" x14ac:dyDescent="0.2">
      <c r="A135" s="13" t="s">
        <v>347</v>
      </c>
      <c r="B135" s="13" t="s">
        <v>354</v>
      </c>
      <c r="C135" s="13" t="s">
        <v>355</v>
      </c>
    </row>
    <row r="136" spans="1:3" ht="15" customHeight="1" x14ac:dyDescent="0.2">
      <c r="A136" s="13" t="s">
        <v>348</v>
      </c>
      <c r="B136" s="13" t="s">
        <v>362</v>
      </c>
      <c r="C136" s="13" t="s">
        <v>363</v>
      </c>
    </row>
    <row r="137" spans="1:3" ht="15" customHeight="1" x14ac:dyDescent="0.2">
      <c r="A137" s="13" t="s">
        <v>349</v>
      </c>
      <c r="B137" s="13" t="s">
        <v>358</v>
      </c>
      <c r="C137" s="13" t="s">
        <v>359</v>
      </c>
    </row>
    <row r="138" spans="1:3" ht="15" customHeight="1" x14ac:dyDescent="0.2">
      <c r="A138" s="13" t="s">
        <v>350</v>
      </c>
      <c r="B138" s="13" t="s">
        <v>360</v>
      </c>
      <c r="C138" s="13" t="s">
        <v>361</v>
      </c>
    </row>
    <row r="139" spans="1:3" ht="15" customHeight="1" x14ac:dyDescent="0.2">
      <c r="A139" s="13" t="s">
        <v>351</v>
      </c>
      <c r="B139" s="13" t="s">
        <v>364</v>
      </c>
      <c r="C139" s="13" t="s">
        <v>365</v>
      </c>
    </row>
    <row r="140" spans="1:3" ht="15" customHeight="1" x14ac:dyDescent="0.2">
      <c r="A140" s="13" t="s">
        <v>366</v>
      </c>
      <c r="B140" s="13" t="s">
        <v>458</v>
      </c>
      <c r="C140" s="13" t="s">
        <v>457</v>
      </c>
    </row>
    <row r="141" spans="1:3" ht="12.75" x14ac:dyDescent="0.2">
      <c r="A141" s="13" t="s">
        <v>367</v>
      </c>
      <c r="B141" s="20"/>
      <c r="C141" s="20"/>
    </row>
    <row r="142" spans="1:3" ht="15" customHeight="1" x14ac:dyDescent="0.2">
      <c r="A142" s="13" t="s">
        <v>368</v>
      </c>
      <c r="B142" s="20" t="s">
        <v>378</v>
      </c>
      <c r="C142" s="20" t="s">
        <v>397</v>
      </c>
    </row>
    <row r="143" spans="1:3" ht="15" customHeight="1" x14ac:dyDescent="0.2">
      <c r="A143" s="13" t="s">
        <v>369</v>
      </c>
      <c r="B143" s="13" t="s">
        <v>381</v>
      </c>
      <c r="C143" s="13" t="s">
        <v>377</v>
      </c>
    </row>
    <row r="144" spans="1:3" ht="15" customHeight="1" x14ac:dyDescent="0.2">
      <c r="A144" s="13" t="s">
        <v>370</v>
      </c>
      <c r="B144" s="13" t="s">
        <v>382</v>
      </c>
      <c r="C144" s="13" t="s">
        <v>398</v>
      </c>
    </row>
    <row r="145" spans="1:3" ht="15" customHeight="1" x14ac:dyDescent="0.2">
      <c r="A145" s="13" t="s">
        <v>371</v>
      </c>
      <c r="B145" s="13" t="s">
        <v>383</v>
      </c>
      <c r="C145" s="13" t="s">
        <v>140</v>
      </c>
    </row>
    <row r="146" spans="1:3" ht="15" customHeight="1" x14ac:dyDescent="0.2">
      <c r="A146" s="13" t="s">
        <v>372</v>
      </c>
      <c r="B146" s="13" t="s">
        <v>384</v>
      </c>
      <c r="C146" s="13" t="s">
        <v>391</v>
      </c>
    </row>
    <row r="147" spans="1:3" ht="15" customHeight="1" x14ac:dyDescent="0.2">
      <c r="A147" s="13" t="s">
        <v>373</v>
      </c>
      <c r="B147" s="13" t="s">
        <v>385</v>
      </c>
      <c r="C147" s="13" t="s">
        <v>392</v>
      </c>
    </row>
    <row r="148" spans="1:3" ht="15" customHeight="1" x14ac:dyDescent="0.2">
      <c r="A148" s="13" t="s">
        <v>374</v>
      </c>
      <c r="B148" s="13" t="s">
        <v>386</v>
      </c>
      <c r="C148" s="13" t="s">
        <v>393</v>
      </c>
    </row>
    <row r="149" spans="1:3" ht="15" customHeight="1" x14ac:dyDescent="0.2">
      <c r="A149" s="13" t="s">
        <v>375</v>
      </c>
      <c r="B149" s="13" t="s">
        <v>387</v>
      </c>
      <c r="C149" s="13" t="s">
        <v>394</v>
      </c>
    </row>
    <row r="150" spans="1:3" ht="15" customHeight="1" x14ac:dyDescent="0.2">
      <c r="A150" s="13" t="s">
        <v>376</v>
      </c>
      <c r="B150" s="13" t="s">
        <v>388</v>
      </c>
      <c r="C150" s="20" t="s">
        <v>395</v>
      </c>
    </row>
    <row r="151" spans="1:3" ht="15" customHeight="1" x14ac:dyDescent="0.2">
      <c r="A151" s="13" t="s">
        <v>390</v>
      </c>
      <c r="B151" s="13" t="s">
        <v>389</v>
      </c>
      <c r="C151" s="13" t="s">
        <v>396</v>
      </c>
    </row>
    <row r="153" spans="1:3" ht="15" customHeight="1" x14ac:dyDescent="0.2">
      <c r="C153" s="20"/>
    </row>
    <row r="154" spans="1:3" ht="15" customHeight="1" x14ac:dyDescent="0.2">
      <c r="C154" s="20"/>
    </row>
    <row r="155" spans="1:3" ht="15" customHeight="1" x14ac:dyDescent="0.2">
      <c r="C155" s="20"/>
    </row>
    <row r="156" spans="1:3" ht="15" customHeight="1" x14ac:dyDescent="0.2">
      <c r="C156" s="20"/>
    </row>
    <row r="157" spans="1:3" ht="15" customHeight="1" x14ac:dyDescent="0.2">
      <c r="C157" s="20"/>
    </row>
    <row r="159" spans="1:3" ht="15" customHeight="1" x14ac:dyDescent="0.2">
      <c r="A159" s="20"/>
      <c r="B159" s="20"/>
      <c r="C159" s="20"/>
    </row>
    <row r="160" spans="1:3" ht="15" customHeight="1" x14ac:dyDescent="0.2">
      <c r="A160" s="20"/>
      <c r="B160" s="20"/>
      <c r="C160" s="20"/>
    </row>
    <row r="161" spans="1:3" ht="15" customHeight="1" x14ac:dyDescent="0.2">
      <c r="A161" s="20"/>
      <c r="B161" s="20"/>
      <c r="C161" s="20"/>
    </row>
    <row r="167" spans="1:3" ht="15" customHeight="1" x14ac:dyDescent="0.2">
      <c r="A167" s="20"/>
      <c r="B167" s="20"/>
      <c r="C167" s="20"/>
    </row>
    <row r="168" spans="1:3" ht="15" customHeight="1" x14ac:dyDescent="0.2">
      <c r="A168" s="20"/>
      <c r="B168" s="20"/>
      <c r="C168" s="20"/>
    </row>
    <row r="170" spans="1:3" ht="15" customHeight="1" x14ac:dyDescent="0.2">
      <c r="A170" s="20"/>
      <c r="B170" s="20"/>
      <c r="C170" s="20"/>
    </row>
    <row r="171" spans="1:3" ht="15" customHeight="1" x14ac:dyDescent="0.2">
      <c r="A171" s="20"/>
      <c r="B171" s="20"/>
      <c r="C171" s="20"/>
    </row>
    <row r="182" spans="1:3" ht="15" customHeight="1" x14ac:dyDescent="0.2">
      <c r="A182" s="20"/>
      <c r="B182" s="20"/>
      <c r="C182" s="20"/>
    </row>
    <row r="183" spans="1:3" ht="15" customHeight="1" x14ac:dyDescent="0.2">
      <c r="A183" s="20"/>
      <c r="B183" s="20"/>
      <c r="C183" s="20"/>
    </row>
    <row r="187" spans="1:3" ht="15" customHeight="1" x14ac:dyDescent="0.2">
      <c r="A187" s="20"/>
      <c r="B187" s="20"/>
      <c r="C187" s="20"/>
    </row>
    <row r="196" spans="1:3" ht="15" customHeight="1" x14ac:dyDescent="0.2">
      <c r="A196" s="20"/>
      <c r="B196" s="20"/>
      <c r="C196" s="20"/>
    </row>
    <row r="205" spans="1:3" ht="15" customHeight="1" x14ac:dyDescent="0.2">
      <c r="A205" s="20"/>
      <c r="B205" s="20"/>
      <c r="C205" s="20"/>
    </row>
    <row r="206" spans="1:3" ht="15" customHeight="1" x14ac:dyDescent="0.2">
      <c r="A206" s="49"/>
      <c r="B206" s="49"/>
    </row>
    <row r="207" spans="1:3" ht="15" customHeight="1" x14ac:dyDescent="0.2">
      <c r="A207" s="49"/>
      <c r="B207" s="49"/>
    </row>
    <row r="226" spans="1:3" ht="15" customHeight="1" x14ac:dyDescent="0.2">
      <c r="A226" s="50"/>
      <c r="B226" s="50"/>
      <c r="C226" s="53"/>
    </row>
    <row r="227" spans="1:3" ht="15" customHeight="1" x14ac:dyDescent="0.2">
      <c r="A227" s="50"/>
      <c r="B227" s="50"/>
      <c r="C227" s="53"/>
    </row>
    <row r="228" spans="1:3" ht="15" customHeight="1" x14ac:dyDescent="0.2">
      <c r="A228" s="50"/>
      <c r="B228" s="50"/>
      <c r="C228" s="53"/>
    </row>
    <row r="229" spans="1:3" ht="15" customHeight="1" x14ac:dyDescent="0.2">
      <c r="A229" s="50"/>
      <c r="B229" s="50"/>
      <c r="C229" s="53"/>
    </row>
    <row r="230" spans="1:3" ht="15" customHeight="1" x14ac:dyDescent="0.2">
      <c r="A230" s="50"/>
      <c r="B230" s="50"/>
      <c r="C230" s="53"/>
    </row>
    <row r="231" spans="1:3" ht="15" customHeight="1" x14ac:dyDescent="0.2">
      <c r="A231" s="50"/>
      <c r="B231" s="50"/>
      <c r="C231" s="53"/>
    </row>
    <row r="232" spans="1:3" ht="15" customHeight="1" x14ac:dyDescent="0.2">
      <c r="A232" s="50"/>
      <c r="B232" s="50"/>
      <c r="C232" s="53"/>
    </row>
    <row r="233" spans="1:3" ht="15" customHeight="1" x14ac:dyDescent="0.2">
      <c r="A233" s="50"/>
      <c r="B233" s="50"/>
      <c r="C233" s="53"/>
    </row>
    <row r="234" spans="1:3" ht="15" customHeight="1" x14ac:dyDescent="0.2">
      <c r="A234" s="50"/>
      <c r="B234" s="50"/>
      <c r="C234" s="53"/>
    </row>
    <row r="235" spans="1:3" ht="15" customHeight="1" x14ac:dyDescent="0.2">
      <c r="A235" s="50"/>
      <c r="B235" s="50"/>
      <c r="C235" s="53"/>
    </row>
    <row r="236" spans="1:3" ht="15" customHeight="1" x14ac:dyDescent="0.2">
      <c r="A236" s="51"/>
      <c r="B236" s="51"/>
      <c r="C236" s="52"/>
    </row>
    <row r="237" spans="1:3" ht="15" customHeight="1" x14ac:dyDescent="0.2">
      <c r="A237" s="51"/>
      <c r="B237" s="51"/>
      <c r="C237" s="52"/>
    </row>
    <row r="238" spans="1:3" ht="15" customHeight="1" x14ac:dyDescent="0.2">
      <c r="A238" s="51"/>
      <c r="B238" s="51"/>
      <c r="C238" s="52"/>
    </row>
    <row r="239" spans="1:3" ht="15" customHeight="1" x14ac:dyDescent="0.2">
      <c r="A239" s="51"/>
      <c r="B239" s="51"/>
      <c r="C239" s="52"/>
    </row>
    <row r="240" spans="1:3" ht="15" customHeight="1" x14ac:dyDescent="0.2">
      <c r="A240" s="51"/>
      <c r="B240" s="51"/>
      <c r="C240" s="52"/>
    </row>
    <row r="241" spans="1:3" ht="15" customHeight="1" x14ac:dyDescent="0.2">
      <c r="A241" s="51"/>
      <c r="B241" s="51"/>
      <c r="C241" s="52"/>
    </row>
    <row r="244" spans="1:3" ht="15" customHeight="1" x14ac:dyDescent="0.2">
      <c r="A244" s="50"/>
      <c r="B244" s="50"/>
      <c r="C244" s="53"/>
    </row>
    <row r="245" spans="1:3" ht="15" customHeight="1" x14ac:dyDescent="0.2">
      <c r="A245" s="20"/>
      <c r="B245" s="20"/>
      <c r="C245" s="20"/>
    </row>
    <row r="249" spans="1:3" ht="15" customHeight="1" x14ac:dyDescent="0.2">
      <c r="A249" s="52"/>
      <c r="B249" s="52"/>
      <c r="C249" s="52"/>
    </row>
    <row r="250" spans="1:3" ht="15" customHeight="1" x14ac:dyDescent="0.2">
      <c r="A250" s="53"/>
      <c r="B250" s="53"/>
      <c r="C250" s="53"/>
    </row>
    <row r="251" spans="1:3" ht="15" customHeight="1" x14ac:dyDescent="0.2">
      <c r="A251" s="53"/>
      <c r="B251" s="53"/>
      <c r="C251" s="53"/>
    </row>
    <row r="252" spans="1:3" ht="15" customHeight="1" x14ac:dyDescent="0.2">
      <c r="A252" s="53"/>
      <c r="B252" s="53"/>
      <c r="C252" s="53"/>
    </row>
    <row r="253" spans="1:3" ht="15" customHeight="1" x14ac:dyDescent="0.2">
      <c r="A253" s="53"/>
      <c r="B253" s="53"/>
      <c r="C253" s="53"/>
    </row>
    <row r="254" spans="1:3" ht="15" customHeight="1" x14ac:dyDescent="0.2">
      <c r="A254" s="52"/>
      <c r="B254" s="52"/>
      <c r="C254" s="52"/>
    </row>
    <row r="255" spans="1:3" ht="15" customHeight="1" x14ac:dyDescent="0.2">
      <c r="A255" s="52"/>
      <c r="B255" s="52"/>
      <c r="C255" s="52"/>
    </row>
    <row r="256" spans="1:3" ht="15" customHeight="1" x14ac:dyDescent="0.2">
      <c r="A256" s="53"/>
      <c r="B256" s="53"/>
      <c r="C256" s="53"/>
    </row>
    <row r="257" spans="1:3" ht="15" customHeight="1" x14ac:dyDescent="0.2">
      <c r="A257" s="53"/>
      <c r="B257" s="53"/>
      <c r="C257" s="53"/>
    </row>
    <row r="258" spans="1:3" ht="15" customHeight="1" x14ac:dyDescent="0.2">
      <c r="A258" s="53"/>
      <c r="B258" s="53"/>
      <c r="C258" s="53"/>
    </row>
    <row r="259" spans="1:3" ht="15" customHeight="1" x14ac:dyDescent="0.2">
      <c r="A259" s="53"/>
      <c r="B259" s="53"/>
      <c r="C259" s="53"/>
    </row>
    <row r="260" spans="1:3" ht="15" customHeight="1" x14ac:dyDescent="0.2">
      <c r="A260" s="53"/>
      <c r="B260" s="53"/>
      <c r="C260" s="53"/>
    </row>
    <row r="261" spans="1:3" ht="15" customHeight="1" x14ac:dyDescent="0.2">
      <c r="A261" s="53"/>
      <c r="B261" s="53"/>
      <c r="C261" s="53"/>
    </row>
    <row r="262" spans="1:3" ht="15" customHeight="1" x14ac:dyDescent="0.2">
      <c r="A262" s="53"/>
      <c r="B262" s="53"/>
      <c r="C262" s="53"/>
    </row>
    <row r="263" spans="1:3" ht="15" customHeight="1" x14ac:dyDescent="0.2">
      <c r="A263" s="52"/>
      <c r="B263" s="52"/>
      <c r="C263" s="52"/>
    </row>
    <row r="266" spans="1:3" ht="15" customHeight="1" x14ac:dyDescent="0.2">
      <c r="A266" s="53"/>
      <c r="B266" s="53"/>
      <c r="C266" s="53"/>
    </row>
    <row r="267" spans="1:3" ht="15" customHeight="1" x14ac:dyDescent="0.2">
      <c r="A267" s="52"/>
      <c r="B267" s="52"/>
      <c r="C267" s="52"/>
    </row>
    <row r="268" spans="1:3" ht="15" customHeight="1" x14ac:dyDescent="0.2">
      <c r="A268" s="52"/>
      <c r="B268" s="52"/>
      <c r="C268" s="52"/>
    </row>
    <row r="269" spans="1:3" ht="15" customHeight="1" x14ac:dyDescent="0.2">
      <c r="A269" s="52"/>
      <c r="B269" s="52"/>
      <c r="C269" s="52"/>
    </row>
    <row r="270" spans="1:3" ht="15" customHeight="1" x14ac:dyDescent="0.2">
      <c r="A270" s="52"/>
      <c r="B270" s="52"/>
      <c r="C270" s="52"/>
    </row>
    <row r="271" spans="1:3" ht="15" customHeight="1" x14ac:dyDescent="0.2">
      <c r="A271" s="20"/>
      <c r="B271" s="20"/>
      <c r="C271" s="20"/>
    </row>
    <row r="272" spans="1:3" ht="15" customHeight="1" x14ac:dyDescent="0.2">
      <c r="A272" s="20"/>
      <c r="B272" s="20"/>
      <c r="C272" s="20"/>
    </row>
    <row r="283" spans="1:2" ht="15" customHeight="1" x14ac:dyDescent="0.2">
      <c r="A283" s="61"/>
      <c r="B283" s="61"/>
    </row>
    <row r="284" spans="1:2" ht="15" customHeight="1" x14ac:dyDescent="0.2">
      <c r="A284" s="61"/>
      <c r="B284" s="61"/>
    </row>
    <row r="285" spans="1:2" ht="15" customHeight="1" x14ac:dyDescent="0.2">
      <c r="A285" s="61"/>
      <c r="B285" s="61"/>
    </row>
    <row r="286" spans="1:2" ht="15" customHeight="1" x14ac:dyDescent="0.2">
      <c r="A286" s="61"/>
      <c r="B286" s="61"/>
    </row>
  </sheetData>
  <sheetProtection algorithmName="SHA-512" hashValue="QBNLbcdXhPGfd1IJVqVvizczilxOYJW7PCeDGGkJq1NT/YQiLsUZq6fW21n6l3JtGv8RalDoxqfgMQlP/pHBNg==" saltValue="7TMfnwa9RwoyEmDcQpfFJg==" spinCount="100000" sheet="1" objects="1" scenarios="1" selectLockedCells="1" selectUnlockedCells="1"/>
  <conditionalFormatting sqref="B1:B1048576">
    <cfRule type="duplicateValues" dxfId="0" priority="1"/>
  </conditionalFormatting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Information</vt:lpstr>
      <vt:lpstr>Rezeptur - Composition 1</vt:lpstr>
      <vt:lpstr>Rezeptur - Composition 2</vt:lpstr>
      <vt:lpstr>Rezeptur - Composition 3</vt:lpstr>
      <vt:lpstr>Rezeptur - Composition 4</vt:lpstr>
      <vt:lpstr>Mischystem - Mixing System</vt:lpstr>
      <vt:lpstr>RAL</vt:lpstr>
      <vt:lpstr>Change Log</vt:lpstr>
      <vt:lpstr>Text</vt:lpstr>
      <vt:lpstr>Drop</vt:lpstr>
      <vt:lpstr>code</vt:lpstr>
      <vt:lpstr>'Change Log'!Druckbereich</vt:lpstr>
      <vt:lpstr>Information!Druckbereich</vt:lpstr>
      <vt:lpstr>Jain</vt:lpstr>
      <vt:lpstr>language</vt:lpstr>
      <vt:lpstr>translation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</dc:creator>
  <cp:lastModifiedBy>Rimkus, Andrea</cp:lastModifiedBy>
  <cp:lastPrinted>2022-12-22T15:58:33Z</cp:lastPrinted>
  <dcterms:created xsi:type="dcterms:W3CDTF">2011-11-24T13:40:47Z</dcterms:created>
  <dcterms:modified xsi:type="dcterms:W3CDTF">2024-11-25T13:00:55Z</dcterms:modified>
</cp:coreProperties>
</file>